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trey\Desktop\ESIC\Finanzas\"/>
    </mc:Choice>
  </mc:AlternateContent>
  <xr:revisionPtr revIDLastSave="0" documentId="13_ncr:1_{AEFBBBA9-CC22-476A-B28E-A29B3BE19F27}" xr6:coauthVersionLast="45" xr6:coauthVersionMax="45" xr10:uidLastSave="{00000000-0000-0000-0000-000000000000}"/>
  <bookViews>
    <workbookView xWindow="-98" yWindow="-98" windowWidth="20715" windowHeight="13276" firstSheet="9" activeTab="11" xr2:uid="{00000000-000D-0000-FFFF-FFFF00000000}"/>
  </bookViews>
  <sheets>
    <sheet name="Complementos de mujer (1)" sheetId="1" r:id="rId1"/>
    <sheet name="Complementos de mujer (2)" sheetId="2" r:id="rId2"/>
    <sheet name="Complementos de mujer (3)" sheetId="3" r:id="rId3"/>
    <sheet name="Complementos de mujer (4)" sheetId="4" r:id="rId4"/>
    <sheet name="Complementos de mujer (5)" sheetId="5" r:id="rId5"/>
    <sheet name="Complementos de mujer (6)" sheetId="6" r:id="rId6"/>
    <sheet name="Complementos de mujer (7A)" sheetId="7" r:id="rId7"/>
    <sheet name="Complementos de mujer (7B)" sheetId="9" r:id="rId8"/>
    <sheet name="Complementos de mujer (7C)" sheetId="10" r:id="rId9"/>
    <sheet name="Complementos de mujer (8A)" sheetId="8" r:id="rId10"/>
    <sheet name="Complementos de mujer (8B)" sheetId="11" r:id="rId11"/>
    <sheet name="Complementos de mujer (8C)" sheetId="12" r:id="rId12"/>
  </sheets>
  <externalReferences>
    <externalReference r:id="rId13"/>
    <externalReference r:id="rId14"/>
  </externalReferences>
  <definedNames>
    <definedName name="_xlnm.Print_Area" localSheetId="0">'Complementos de mujer (1)'!$A$1:$I$71</definedName>
    <definedName name="_xlnm.Print_Area" localSheetId="1">'Complementos de mujer (2)'!$A$1:$I$71</definedName>
    <definedName name="_xlnm.Print_Area" localSheetId="2">'Complementos de mujer (3)'!$A$1:$I$71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75" i="11" l="1"/>
  <c r="B101" i="12" l="1"/>
  <c r="D101" i="12" s="1"/>
  <c r="B21" i="12" s="1"/>
  <c r="B100" i="12"/>
  <c r="D100" i="12" s="1"/>
  <c r="B13" i="12" s="1"/>
  <c r="B99" i="12"/>
  <c r="D99" i="12" s="1"/>
  <c r="B5" i="12" s="1"/>
  <c r="D93" i="12"/>
  <c r="D92" i="12"/>
  <c r="D91" i="12"/>
  <c r="D87" i="12"/>
  <c r="D86" i="12"/>
  <c r="B85" i="12"/>
  <c r="D85" i="12" s="1"/>
  <c r="B41" i="12" s="1"/>
  <c r="J82" i="12"/>
  <c r="I82" i="12"/>
  <c r="H82" i="12"/>
  <c r="B81" i="12"/>
  <c r="B80" i="12"/>
  <c r="D79" i="12"/>
  <c r="J79" i="12" s="1"/>
  <c r="B79" i="12"/>
  <c r="B78" i="12"/>
  <c r="D78" i="12" s="1"/>
  <c r="I79" i="12" s="1"/>
  <c r="J77" i="12"/>
  <c r="I77" i="12"/>
  <c r="H77" i="12"/>
  <c r="B77" i="12"/>
  <c r="D77" i="12" s="1"/>
  <c r="H79" i="12" s="1"/>
  <c r="K79" i="12" s="1"/>
  <c r="D76" i="12"/>
  <c r="D75" i="12"/>
  <c r="G78" i="12" s="1"/>
  <c r="B75" i="12"/>
  <c r="C64" i="12"/>
  <c r="B63" i="12"/>
  <c r="C60" i="12"/>
  <c r="C59" i="12"/>
  <c r="B57" i="12"/>
  <c r="C53" i="12"/>
  <c r="H17" i="12"/>
  <c r="G17" i="12"/>
  <c r="F17" i="12"/>
  <c r="E17" i="12"/>
  <c r="D17" i="12"/>
  <c r="C17" i="12"/>
  <c r="I16" i="12"/>
  <c r="I15" i="12"/>
  <c r="I14" i="12"/>
  <c r="I11" i="12"/>
  <c r="C11" i="12"/>
  <c r="C19" i="12" s="1"/>
  <c r="B11" i="12"/>
  <c r="D9" i="12"/>
  <c r="I7" i="12"/>
  <c r="I6" i="12"/>
  <c r="A5" i="12"/>
  <c r="D3" i="12"/>
  <c r="D11" i="12" s="1"/>
  <c r="D19" i="12" s="1"/>
  <c r="B101" i="11"/>
  <c r="D101" i="11" s="1"/>
  <c r="B21" i="11" s="1"/>
  <c r="B100" i="11"/>
  <c r="D100" i="11" s="1"/>
  <c r="B13" i="11" s="1"/>
  <c r="B99" i="11"/>
  <c r="D99" i="11" s="1"/>
  <c r="B5" i="11" s="1"/>
  <c r="D93" i="11"/>
  <c r="D92" i="11"/>
  <c r="D91" i="11"/>
  <c r="D87" i="11"/>
  <c r="D86" i="11"/>
  <c r="B85" i="11"/>
  <c r="D85" i="11" s="1"/>
  <c r="B41" i="11" s="1"/>
  <c r="J82" i="11"/>
  <c r="I82" i="11"/>
  <c r="H82" i="11"/>
  <c r="B81" i="11"/>
  <c r="B80" i="11"/>
  <c r="D79" i="11"/>
  <c r="J79" i="11" s="1"/>
  <c r="B79" i="11"/>
  <c r="B78" i="11"/>
  <c r="D78" i="11" s="1"/>
  <c r="I79" i="11" s="1"/>
  <c r="J77" i="11"/>
  <c r="I77" i="11"/>
  <c r="H77" i="11"/>
  <c r="D77" i="11"/>
  <c r="H79" i="11" s="1"/>
  <c r="B77" i="11"/>
  <c r="D76" i="11"/>
  <c r="D75" i="11"/>
  <c r="G78" i="11" s="1"/>
  <c r="B37" i="11" s="1"/>
  <c r="C64" i="11"/>
  <c r="B63" i="11"/>
  <c r="C60" i="11"/>
  <c r="C59" i="11"/>
  <c r="B57" i="11"/>
  <c r="C53" i="11"/>
  <c r="H17" i="11"/>
  <c r="G17" i="11"/>
  <c r="F17" i="11"/>
  <c r="E17" i="11"/>
  <c r="D17" i="11"/>
  <c r="C17" i="11"/>
  <c r="I16" i="11"/>
  <c r="I15" i="11"/>
  <c r="I14" i="11"/>
  <c r="I11" i="11"/>
  <c r="C11" i="11"/>
  <c r="C19" i="11" s="1"/>
  <c r="B11" i="11"/>
  <c r="D9" i="11"/>
  <c r="I7" i="11"/>
  <c r="I6" i="11"/>
  <c r="A5" i="11"/>
  <c r="D3" i="11"/>
  <c r="D11" i="11" s="1"/>
  <c r="D19" i="11" s="1"/>
  <c r="B80" i="10"/>
  <c r="K80" i="10"/>
  <c r="K81" i="10" s="1"/>
  <c r="D77" i="10"/>
  <c r="B101" i="10"/>
  <c r="D101" i="10" s="1"/>
  <c r="B21" i="10" s="1"/>
  <c r="B100" i="10"/>
  <c r="D100" i="10" s="1"/>
  <c r="B13" i="10" s="1"/>
  <c r="B99" i="10"/>
  <c r="D99" i="10" s="1"/>
  <c r="B5" i="10" s="1"/>
  <c r="D93" i="10"/>
  <c r="D92" i="10"/>
  <c r="D91" i="10"/>
  <c r="D87" i="10"/>
  <c r="D86" i="10"/>
  <c r="B85" i="10"/>
  <c r="D85" i="10" s="1"/>
  <c r="B41" i="10" s="1"/>
  <c r="J82" i="10"/>
  <c r="I82" i="10"/>
  <c r="H82" i="10"/>
  <c r="B81" i="10"/>
  <c r="B79" i="10"/>
  <c r="D79" i="10" s="1"/>
  <c r="J79" i="10" s="1"/>
  <c r="J78" i="10" s="1"/>
  <c r="B78" i="10"/>
  <c r="D78" i="10" s="1"/>
  <c r="I79" i="10" s="1"/>
  <c r="I78" i="10" s="1"/>
  <c r="J77" i="10"/>
  <c r="I77" i="10"/>
  <c r="H77" i="10"/>
  <c r="B77" i="10"/>
  <c r="D76" i="10"/>
  <c r="B75" i="10"/>
  <c r="D75" i="10" s="1"/>
  <c r="C64" i="10"/>
  <c r="B63" i="10"/>
  <c r="C60" i="10"/>
  <c r="C59" i="10"/>
  <c r="B57" i="10"/>
  <c r="C53" i="10"/>
  <c r="B37" i="10"/>
  <c r="C37" i="10" s="1"/>
  <c r="H17" i="10"/>
  <c r="G17" i="10"/>
  <c r="F17" i="10"/>
  <c r="E17" i="10"/>
  <c r="D17" i="10"/>
  <c r="C17" i="10"/>
  <c r="I16" i="10"/>
  <c r="I15" i="10"/>
  <c r="I14" i="10"/>
  <c r="I11" i="10"/>
  <c r="C11" i="10"/>
  <c r="C19" i="10" s="1"/>
  <c r="B11" i="10"/>
  <c r="D9" i="10"/>
  <c r="I7" i="10"/>
  <c r="I6" i="10"/>
  <c r="A5" i="10"/>
  <c r="D3" i="10"/>
  <c r="D11" i="10" s="1"/>
  <c r="D19" i="10" s="1"/>
  <c r="D101" i="9"/>
  <c r="B101" i="9"/>
  <c r="B100" i="9"/>
  <c r="D100" i="9" s="1"/>
  <c r="B13" i="9" s="1"/>
  <c r="B99" i="9"/>
  <c r="D99" i="9" s="1"/>
  <c r="B5" i="9" s="1"/>
  <c r="B58" i="9" s="1"/>
  <c r="D93" i="9"/>
  <c r="D92" i="9"/>
  <c r="D91" i="9"/>
  <c r="D87" i="9"/>
  <c r="D86" i="9"/>
  <c r="B85" i="9"/>
  <c r="D85" i="9" s="1"/>
  <c r="B41" i="9" s="1"/>
  <c r="K82" i="9"/>
  <c r="K80" i="9" s="1"/>
  <c r="K81" i="9" s="1"/>
  <c r="J82" i="9"/>
  <c r="I82" i="9"/>
  <c r="H82" i="9"/>
  <c r="B81" i="9"/>
  <c r="B80" i="9"/>
  <c r="B79" i="9"/>
  <c r="D79" i="9" s="1"/>
  <c r="D78" i="9"/>
  <c r="I79" i="9" s="1"/>
  <c r="I78" i="9" s="1"/>
  <c r="B78" i="9"/>
  <c r="J77" i="9"/>
  <c r="I77" i="9"/>
  <c r="H77" i="9"/>
  <c r="B77" i="9"/>
  <c r="D77" i="9" s="1"/>
  <c r="H79" i="9" s="1"/>
  <c r="D76" i="9"/>
  <c r="B75" i="9"/>
  <c r="D75" i="9" s="1"/>
  <c r="C64" i="9"/>
  <c r="B63" i="9"/>
  <c r="C60" i="9"/>
  <c r="C59" i="9"/>
  <c r="B57" i="9"/>
  <c r="C53" i="9"/>
  <c r="C37" i="9"/>
  <c r="C22" i="9"/>
  <c r="B21" i="9"/>
  <c r="B62" i="9" s="1"/>
  <c r="H17" i="9"/>
  <c r="G17" i="9"/>
  <c r="F17" i="9"/>
  <c r="E17" i="9"/>
  <c r="D17" i="9"/>
  <c r="C17" i="9"/>
  <c r="I16" i="9"/>
  <c r="I15" i="9"/>
  <c r="I14" i="9"/>
  <c r="I11" i="9"/>
  <c r="C11" i="9"/>
  <c r="C19" i="9" s="1"/>
  <c r="B11" i="9"/>
  <c r="D9" i="9"/>
  <c r="I7" i="9"/>
  <c r="I6" i="9"/>
  <c r="A5" i="9"/>
  <c r="D3" i="9"/>
  <c r="D11" i="9" s="1"/>
  <c r="D19" i="9" s="1"/>
  <c r="B38" i="11" l="1"/>
  <c r="C8" i="11" s="1"/>
  <c r="C41" i="9"/>
  <c r="E22" i="9"/>
  <c r="E23" i="9" s="1"/>
  <c r="E3" i="9"/>
  <c r="B38" i="10"/>
  <c r="E3" i="11"/>
  <c r="E3" i="12"/>
  <c r="C22" i="10"/>
  <c r="C23" i="10" s="1"/>
  <c r="B43" i="12"/>
  <c r="B58" i="12"/>
  <c r="B60" i="12" s="1"/>
  <c r="I78" i="12"/>
  <c r="B37" i="12"/>
  <c r="H78" i="12"/>
  <c r="J78" i="12"/>
  <c r="C54" i="12"/>
  <c r="E8" i="12" s="1"/>
  <c r="E9" i="12" s="1"/>
  <c r="E22" i="12"/>
  <c r="E23" i="12" s="1"/>
  <c r="B61" i="12"/>
  <c r="B17" i="12"/>
  <c r="B45" i="12"/>
  <c r="I13" i="12"/>
  <c r="I17" i="12" s="1"/>
  <c r="K78" i="12"/>
  <c r="B23" i="12"/>
  <c r="I21" i="12"/>
  <c r="B62" i="12"/>
  <c r="B8" i="12"/>
  <c r="D80" i="12"/>
  <c r="I78" i="11"/>
  <c r="H78" i="11"/>
  <c r="J78" i="11"/>
  <c r="K79" i="11"/>
  <c r="K78" i="11" s="1"/>
  <c r="C54" i="11"/>
  <c r="E8" i="11" s="1"/>
  <c r="E9" i="11" s="1"/>
  <c r="E22" i="11"/>
  <c r="E23" i="11" s="1"/>
  <c r="B45" i="11"/>
  <c r="I13" i="11"/>
  <c r="I17" i="11" s="1"/>
  <c r="B61" i="11"/>
  <c r="B17" i="11"/>
  <c r="B58" i="11"/>
  <c r="B43" i="11"/>
  <c r="B65" i="11"/>
  <c r="B67" i="11" s="1"/>
  <c r="B23" i="11"/>
  <c r="I21" i="11"/>
  <c r="B62" i="11"/>
  <c r="B64" i="11" s="1"/>
  <c r="B8" i="11"/>
  <c r="B9" i="11" s="1"/>
  <c r="B60" i="11"/>
  <c r="D80" i="11"/>
  <c r="H79" i="10"/>
  <c r="K79" i="10" s="1"/>
  <c r="B58" i="10"/>
  <c r="B43" i="10"/>
  <c r="I80" i="10"/>
  <c r="I81" i="10" s="1"/>
  <c r="C41" i="10"/>
  <c r="E22" i="10"/>
  <c r="E23" i="10" s="1"/>
  <c r="C54" i="10"/>
  <c r="E8" i="10" s="1"/>
  <c r="E9" i="10" s="1"/>
  <c r="E25" i="10" s="1"/>
  <c r="B61" i="10"/>
  <c r="B45" i="10"/>
  <c r="B17" i="10"/>
  <c r="I13" i="10"/>
  <c r="I17" i="10" s="1"/>
  <c r="J80" i="10"/>
  <c r="J81" i="10" s="1"/>
  <c r="B62" i="10"/>
  <c r="B8" i="10"/>
  <c r="B23" i="10"/>
  <c r="I21" i="10"/>
  <c r="B60" i="10"/>
  <c r="E3" i="10"/>
  <c r="D80" i="10"/>
  <c r="H78" i="9"/>
  <c r="K79" i="9"/>
  <c r="J79" i="9"/>
  <c r="J78" i="9" s="1"/>
  <c r="D80" i="9"/>
  <c r="I80" i="9"/>
  <c r="I81" i="9" s="1"/>
  <c r="B61" i="9"/>
  <c r="B64" i="9" s="1"/>
  <c r="B45" i="9"/>
  <c r="B8" i="9"/>
  <c r="I13" i="9"/>
  <c r="I17" i="9" s="1"/>
  <c r="B17" i="9"/>
  <c r="C23" i="9"/>
  <c r="B38" i="9"/>
  <c r="B60" i="9"/>
  <c r="I21" i="9"/>
  <c r="B23" i="9"/>
  <c r="C54" i="9"/>
  <c r="E8" i="9" s="1"/>
  <c r="E9" i="9" s="1"/>
  <c r="E25" i="9" s="1"/>
  <c r="B43" i="9"/>
  <c r="B80" i="7"/>
  <c r="B37" i="7"/>
  <c r="C54" i="7"/>
  <c r="C41" i="11" l="1"/>
  <c r="B64" i="12"/>
  <c r="E25" i="12"/>
  <c r="E11" i="12"/>
  <c r="E19" i="12" s="1"/>
  <c r="F3" i="12"/>
  <c r="E11" i="11"/>
  <c r="E19" i="11" s="1"/>
  <c r="F3" i="11"/>
  <c r="G79" i="10"/>
  <c r="C38" i="10"/>
  <c r="C8" i="10"/>
  <c r="H78" i="10"/>
  <c r="E11" i="9"/>
  <c r="E19" i="9" s="1"/>
  <c r="F3" i="9"/>
  <c r="B65" i="12"/>
  <c r="B67" i="12" s="1"/>
  <c r="C66" i="12" s="1"/>
  <c r="K80" i="12"/>
  <c r="K81" i="12" s="1"/>
  <c r="G79" i="12"/>
  <c r="J80" i="12"/>
  <c r="J81" i="12" s="1"/>
  <c r="I80" i="12"/>
  <c r="I81" i="12" s="1"/>
  <c r="B38" i="12"/>
  <c r="C37" i="12"/>
  <c r="C22" i="12"/>
  <c r="C41" i="12"/>
  <c r="F22" i="12"/>
  <c r="F23" i="12" s="1"/>
  <c r="C43" i="12"/>
  <c r="F5" i="12"/>
  <c r="G22" i="12"/>
  <c r="G23" i="12" s="1"/>
  <c r="C55" i="12"/>
  <c r="G8" i="12" s="1"/>
  <c r="G9" i="12" s="1"/>
  <c r="C45" i="12"/>
  <c r="H80" i="12"/>
  <c r="H81" i="12" s="1"/>
  <c r="B9" i="12"/>
  <c r="B26" i="11"/>
  <c r="B25" i="11"/>
  <c r="K80" i="11"/>
  <c r="K81" i="11" s="1"/>
  <c r="C55" i="11"/>
  <c r="G8" i="11" s="1"/>
  <c r="G9" i="11" s="1"/>
  <c r="G22" i="11"/>
  <c r="G23" i="11" s="1"/>
  <c r="C45" i="11"/>
  <c r="F22" i="11"/>
  <c r="F23" i="11" s="1"/>
  <c r="C43" i="11"/>
  <c r="F5" i="11"/>
  <c r="G79" i="11"/>
  <c r="H80" i="11"/>
  <c r="C66" i="11"/>
  <c r="C37" i="11"/>
  <c r="C22" i="11"/>
  <c r="I80" i="11"/>
  <c r="I81" i="11" s="1"/>
  <c r="E25" i="11"/>
  <c r="J80" i="11"/>
  <c r="J81" i="11" s="1"/>
  <c r="H80" i="10"/>
  <c r="G80" i="10" s="1"/>
  <c r="B39" i="10" s="1"/>
  <c r="C43" i="10"/>
  <c r="F5" i="10"/>
  <c r="F22" i="10"/>
  <c r="F23" i="10" s="1"/>
  <c r="F3" i="10"/>
  <c r="E11" i="10"/>
  <c r="E19" i="10" s="1"/>
  <c r="B64" i="10"/>
  <c r="B65" i="10" s="1"/>
  <c r="B67" i="10" s="1"/>
  <c r="C45" i="10"/>
  <c r="C55" i="10"/>
  <c r="G22" i="10"/>
  <c r="G23" i="10" s="1"/>
  <c r="B9" i="10"/>
  <c r="B65" i="9"/>
  <c r="B67" i="9" s="1"/>
  <c r="J80" i="9"/>
  <c r="J81" i="9" s="1"/>
  <c r="C43" i="9"/>
  <c r="F22" i="9"/>
  <c r="F23" i="9" s="1"/>
  <c r="F5" i="9"/>
  <c r="C45" i="9"/>
  <c r="C55" i="9"/>
  <c r="G8" i="9" s="1"/>
  <c r="G9" i="9" s="1"/>
  <c r="G22" i="9"/>
  <c r="G23" i="9" s="1"/>
  <c r="H80" i="9"/>
  <c r="H81" i="9" s="1"/>
  <c r="B9" i="9"/>
  <c r="C38" i="9"/>
  <c r="C8" i="9"/>
  <c r="G79" i="9"/>
  <c r="B101" i="8"/>
  <c r="D101" i="8" s="1"/>
  <c r="B21" i="8" s="1"/>
  <c r="B100" i="8"/>
  <c r="D100" i="8" s="1"/>
  <c r="B13" i="8" s="1"/>
  <c r="B99" i="8"/>
  <c r="D99" i="8" s="1"/>
  <c r="B5" i="8" s="1"/>
  <c r="D93" i="8"/>
  <c r="D92" i="8"/>
  <c r="D91" i="8"/>
  <c r="D87" i="8"/>
  <c r="D86" i="8"/>
  <c r="B85" i="8"/>
  <c r="D85" i="8" s="1"/>
  <c r="K82" i="8"/>
  <c r="J82" i="8"/>
  <c r="I82" i="8"/>
  <c r="H82" i="8"/>
  <c r="B81" i="8"/>
  <c r="B80" i="8"/>
  <c r="B79" i="8"/>
  <c r="D79" i="8" s="1"/>
  <c r="J79" i="8" s="1"/>
  <c r="B78" i="8"/>
  <c r="D78" i="8" s="1"/>
  <c r="I79" i="8" s="1"/>
  <c r="J77" i="8"/>
  <c r="I77" i="8"/>
  <c r="H77" i="8"/>
  <c r="D77" i="8"/>
  <c r="H79" i="8" s="1"/>
  <c r="B77" i="8"/>
  <c r="D76" i="8"/>
  <c r="B75" i="8"/>
  <c r="D75" i="8" s="1"/>
  <c r="G78" i="8" s="1"/>
  <c r="B37" i="8" s="1"/>
  <c r="C64" i="8"/>
  <c r="B63" i="8"/>
  <c r="C60" i="8"/>
  <c r="C59" i="8"/>
  <c r="B57" i="8"/>
  <c r="C53" i="8"/>
  <c r="H17" i="8"/>
  <c r="G17" i="8"/>
  <c r="F17" i="8"/>
  <c r="E17" i="8"/>
  <c r="D17" i="8"/>
  <c r="C17" i="8"/>
  <c r="I16" i="8"/>
  <c r="I15" i="8"/>
  <c r="I14" i="8"/>
  <c r="I11" i="8"/>
  <c r="C11" i="8"/>
  <c r="C19" i="8" s="1"/>
  <c r="B11" i="8"/>
  <c r="D9" i="8"/>
  <c r="I7" i="8"/>
  <c r="I6" i="8"/>
  <c r="A5" i="8"/>
  <c r="E3" i="8"/>
  <c r="E11" i="8" s="1"/>
  <c r="E19" i="8" s="1"/>
  <c r="D3" i="8"/>
  <c r="D11" i="8" s="1"/>
  <c r="D19" i="8" s="1"/>
  <c r="B101" i="7"/>
  <c r="D101" i="7" s="1"/>
  <c r="B21" i="7" s="1"/>
  <c r="D100" i="7"/>
  <c r="B13" i="7" s="1"/>
  <c r="B100" i="7"/>
  <c r="B99" i="7"/>
  <c r="D99" i="7" s="1"/>
  <c r="B5" i="7" s="1"/>
  <c r="D93" i="7"/>
  <c r="D92" i="7"/>
  <c r="D91" i="7"/>
  <c r="D87" i="7"/>
  <c r="D86" i="7"/>
  <c r="B85" i="7"/>
  <c r="D85" i="7" s="1"/>
  <c r="K82" i="7"/>
  <c r="J82" i="7"/>
  <c r="I82" i="7"/>
  <c r="H82" i="7"/>
  <c r="B81" i="7"/>
  <c r="B79" i="7"/>
  <c r="D79" i="7" s="1"/>
  <c r="J79" i="7" s="1"/>
  <c r="D78" i="7"/>
  <c r="I79" i="7" s="1"/>
  <c r="B78" i="7"/>
  <c r="J77" i="7"/>
  <c r="I77" i="7"/>
  <c r="H77" i="7"/>
  <c r="D77" i="7"/>
  <c r="H79" i="7" s="1"/>
  <c r="B77" i="7"/>
  <c r="D76" i="7"/>
  <c r="D75" i="7"/>
  <c r="B75" i="7"/>
  <c r="C64" i="7"/>
  <c r="B63" i="7"/>
  <c r="C60" i="7"/>
  <c r="C59" i="7"/>
  <c r="B57" i="7"/>
  <c r="C53" i="7"/>
  <c r="H17" i="7"/>
  <c r="G17" i="7"/>
  <c r="F17" i="7"/>
  <c r="E17" i="7"/>
  <c r="D17" i="7"/>
  <c r="C17" i="7"/>
  <c r="I16" i="7"/>
  <c r="I15" i="7"/>
  <c r="I14" i="7"/>
  <c r="I11" i="7"/>
  <c r="C11" i="7"/>
  <c r="C19" i="7" s="1"/>
  <c r="B11" i="7"/>
  <c r="D9" i="7"/>
  <c r="I7" i="7"/>
  <c r="I6" i="7"/>
  <c r="A5" i="7"/>
  <c r="D3" i="7"/>
  <c r="D11" i="7" s="1"/>
  <c r="D19" i="7" s="1"/>
  <c r="G80" i="11" l="1"/>
  <c r="B39" i="11" s="1"/>
  <c r="C39" i="11" s="1"/>
  <c r="G25" i="12"/>
  <c r="F11" i="11"/>
  <c r="F19" i="11" s="1"/>
  <c r="G3" i="11"/>
  <c r="F3" i="8"/>
  <c r="F11" i="8" s="1"/>
  <c r="F19" i="8" s="1"/>
  <c r="F11" i="9"/>
  <c r="F19" i="9" s="1"/>
  <c r="G3" i="9"/>
  <c r="F11" i="12"/>
  <c r="F19" i="12" s="1"/>
  <c r="G3" i="12"/>
  <c r="E3" i="7"/>
  <c r="C52" i="10"/>
  <c r="C9" i="10"/>
  <c r="C25" i="10" s="1"/>
  <c r="F9" i="12"/>
  <c r="F25" i="12" s="1"/>
  <c r="I5" i="12"/>
  <c r="G81" i="12"/>
  <c r="G82" i="12" s="1"/>
  <c r="D81" i="12" s="1"/>
  <c r="C81" i="12" s="1"/>
  <c r="C23" i="12"/>
  <c r="B26" i="12"/>
  <c r="B25" i="12"/>
  <c r="C38" i="12"/>
  <c r="C8" i="12"/>
  <c r="G80" i="12"/>
  <c r="B39" i="12" s="1"/>
  <c r="C38" i="11"/>
  <c r="F9" i="11"/>
  <c r="F25" i="11" s="1"/>
  <c r="I5" i="11"/>
  <c r="C23" i="11"/>
  <c r="H81" i="11"/>
  <c r="G81" i="11" s="1"/>
  <c r="G82" i="11" s="1"/>
  <c r="D81" i="11" s="1"/>
  <c r="C81" i="11" s="1"/>
  <c r="G25" i="11"/>
  <c r="H81" i="10"/>
  <c r="G81" i="10" s="1"/>
  <c r="G82" i="10" s="1"/>
  <c r="D81" i="10" s="1"/>
  <c r="C81" i="10" s="1"/>
  <c r="C66" i="10"/>
  <c r="B26" i="10"/>
  <c r="B25" i="10"/>
  <c r="G3" i="10"/>
  <c r="F11" i="10"/>
  <c r="F19" i="10" s="1"/>
  <c r="F9" i="10"/>
  <c r="F25" i="10" s="1"/>
  <c r="I5" i="10"/>
  <c r="C39" i="10"/>
  <c r="D22" i="10"/>
  <c r="D95" i="10"/>
  <c r="B40" i="10"/>
  <c r="G8" i="10"/>
  <c r="G81" i="9"/>
  <c r="G82" i="9" s="1"/>
  <c r="D81" i="9" s="1"/>
  <c r="C81" i="9" s="1"/>
  <c r="C66" i="9"/>
  <c r="B26" i="9"/>
  <c r="B25" i="9"/>
  <c r="G25" i="9"/>
  <c r="C52" i="9"/>
  <c r="C9" i="9"/>
  <c r="C25" i="9" s="1"/>
  <c r="F9" i="9"/>
  <c r="F25" i="9" s="1"/>
  <c r="I5" i="9"/>
  <c r="G80" i="9"/>
  <c r="B39" i="9" s="1"/>
  <c r="C54" i="8"/>
  <c r="E8" i="8" s="1"/>
  <c r="E9" i="8" s="1"/>
  <c r="E22" i="8"/>
  <c r="E23" i="8" s="1"/>
  <c r="B61" i="8"/>
  <c r="B45" i="8"/>
  <c r="I13" i="8"/>
  <c r="I17" i="8" s="1"/>
  <c r="B17" i="8"/>
  <c r="B23" i="8"/>
  <c r="I21" i="8"/>
  <c r="B62" i="8"/>
  <c r="B8" i="8"/>
  <c r="B9" i="8" s="1"/>
  <c r="G79" i="8"/>
  <c r="K79" i="8"/>
  <c r="B58" i="8"/>
  <c r="B60" i="8" s="1"/>
  <c r="B43" i="8"/>
  <c r="I78" i="8"/>
  <c r="H78" i="8"/>
  <c r="K78" i="8"/>
  <c r="J78" i="8"/>
  <c r="C41" i="8"/>
  <c r="G3" i="8"/>
  <c r="D80" i="8"/>
  <c r="K79" i="7"/>
  <c r="G79" i="7"/>
  <c r="B43" i="7"/>
  <c r="B58" i="7"/>
  <c r="B60" i="7" s="1"/>
  <c r="I78" i="7"/>
  <c r="H78" i="7"/>
  <c r="J78" i="7"/>
  <c r="C41" i="7"/>
  <c r="E8" i="7"/>
  <c r="E9" i="7" s="1"/>
  <c r="E22" i="7"/>
  <c r="E23" i="7" s="1"/>
  <c r="B61" i="7"/>
  <c r="B17" i="7"/>
  <c r="B45" i="7"/>
  <c r="I13" i="7"/>
  <c r="I17" i="7" s="1"/>
  <c r="B23" i="7"/>
  <c r="I21" i="7"/>
  <c r="B62" i="7"/>
  <c r="B8" i="7"/>
  <c r="D80" i="7"/>
  <c r="B40" i="11" l="1"/>
  <c r="B42" i="11" s="1"/>
  <c r="D95" i="11"/>
  <c r="D22" i="11"/>
  <c r="D23" i="11" s="1"/>
  <c r="D25" i="11" s="1"/>
  <c r="H3" i="12"/>
  <c r="H11" i="12" s="1"/>
  <c r="H19" i="12" s="1"/>
  <c r="G11" i="12"/>
  <c r="G19" i="12" s="1"/>
  <c r="G11" i="9"/>
  <c r="G19" i="9" s="1"/>
  <c r="H3" i="9"/>
  <c r="H11" i="9" s="1"/>
  <c r="H19" i="9" s="1"/>
  <c r="B64" i="7"/>
  <c r="H3" i="11"/>
  <c r="H11" i="11" s="1"/>
  <c r="H19" i="11" s="1"/>
  <c r="G11" i="11"/>
  <c r="G19" i="11" s="1"/>
  <c r="B65" i="7"/>
  <c r="B67" i="7" s="1"/>
  <c r="C66" i="7" s="1"/>
  <c r="E11" i="7"/>
  <c r="E19" i="7" s="1"/>
  <c r="F3" i="7"/>
  <c r="D95" i="12"/>
  <c r="C39" i="12"/>
  <c r="D22" i="12"/>
  <c r="B40" i="12"/>
  <c r="C52" i="12"/>
  <c r="C9" i="12"/>
  <c r="C25" i="12" s="1"/>
  <c r="C52" i="11"/>
  <c r="C9" i="11"/>
  <c r="C25" i="11" s="1"/>
  <c r="B42" i="10"/>
  <c r="C40" i="10"/>
  <c r="H50" i="10" s="1"/>
  <c r="D23" i="10"/>
  <c r="D25" i="10" s="1"/>
  <c r="G9" i="10"/>
  <c r="G25" i="10" s="1"/>
  <c r="G11" i="10"/>
  <c r="G19" i="10" s="1"/>
  <c r="H3" i="10"/>
  <c r="H11" i="10" s="1"/>
  <c r="H19" i="10" s="1"/>
  <c r="C39" i="9"/>
  <c r="D95" i="9"/>
  <c r="D22" i="9"/>
  <c r="B40" i="9"/>
  <c r="E25" i="8"/>
  <c r="B26" i="8"/>
  <c r="B25" i="8"/>
  <c r="I81" i="8"/>
  <c r="I80" i="8"/>
  <c r="B38" i="8"/>
  <c r="C22" i="8"/>
  <c r="C37" i="8"/>
  <c r="J80" i="8"/>
  <c r="J81" i="8" s="1"/>
  <c r="B64" i="8"/>
  <c r="B65" i="8" s="1"/>
  <c r="B67" i="8" s="1"/>
  <c r="K80" i="8"/>
  <c r="K81" i="8" s="1"/>
  <c r="F22" i="8"/>
  <c r="F23" i="8" s="1"/>
  <c r="C43" i="8"/>
  <c r="F5" i="8"/>
  <c r="G11" i="8"/>
  <c r="G19" i="8" s="1"/>
  <c r="H3" i="8"/>
  <c r="H11" i="8" s="1"/>
  <c r="H19" i="8" s="1"/>
  <c r="H80" i="8"/>
  <c r="G80" i="8" s="1"/>
  <c r="B39" i="8" s="1"/>
  <c r="G22" i="8"/>
  <c r="G23" i="8" s="1"/>
  <c r="C55" i="8"/>
  <c r="G8" i="8" s="1"/>
  <c r="G9" i="8" s="1"/>
  <c r="C45" i="8"/>
  <c r="K80" i="7"/>
  <c r="K81" i="7" s="1"/>
  <c r="B38" i="7"/>
  <c r="C37" i="7"/>
  <c r="C22" i="7"/>
  <c r="B9" i="7"/>
  <c r="G22" i="7"/>
  <c r="G23" i="7" s="1"/>
  <c r="C55" i="7"/>
  <c r="G8" i="7" s="1"/>
  <c r="G9" i="7" s="1"/>
  <c r="C45" i="7"/>
  <c r="J80" i="7"/>
  <c r="J81" i="7" s="1"/>
  <c r="E25" i="7"/>
  <c r="H80" i="7"/>
  <c r="I80" i="7"/>
  <c r="I81" i="7" s="1"/>
  <c r="F22" i="7"/>
  <c r="F23" i="7" s="1"/>
  <c r="C43" i="7"/>
  <c r="F5" i="7"/>
  <c r="C40" i="11" l="1"/>
  <c r="F11" i="7"/>
  <c r="F19" i="7" s="1"/>
  <c r="G3" i="7"/>
  <c r="D23" i="12"/>
  <c r="D25" i="12" s="1"/>
  <c r="C40" i="12"/>
  <c r="H50" i="12" s="1"/>
  <c r="B42" i="12"/>
  <c r="C42" i="11"/>
  <c r="B44" i="11"/>
  <c r="C42" i="10"/>
  <c r="B44" i="10"/>
  <c r="D23" i="9"/>
  <c r="D25" i="9" s="1"/>
  <c r="C40" i="9"/>
  <c r="H50" i="9" s="1"/>
  <c r="B42" i="9"/>
  <c r="G80" i="7"/>
  <c r="B39" i="7" s="1"/>
  <c r="B40" i="7" s="1"/>
  <c r="B42" i="7" s="1"/>
  <c r="C66" i="8"/>
  <c r="H81" i="8"/>
  <c r="G81" i="8" s="1"/>
  <c r="G82" i="8" s="1"/>
  <c r="D81" i="8" s="1"/>
  <c r="C81" i="8" s="1"/>
  <c r="C38" i="8"/>
  <c r="C8" i="8"/>
  <c r="C39" i="8"/>
  <c r="D22" i="8"/>
  <c r="D23" i="8" s="1"/>
  <c r="D25" i="8" s="1"/>
  <c r="D95" i="8"/>
  <c r="C23" i="8"/>
  <c r="G25" i="8"/>
  <c r="F9" i="8"/>
  <c r="F25" i="8" s="1"/>
  <c r="I5" i="8"/>
  <c r="B40" i="8"/>
  <c r="F9" i="7"/>
  <c r="F25" i="7" s="1"/>
  <c r="I5" i="7"/>
  <c r="H81" i="7"/>
  <c r="G81" i="7" s="1"/>
  <c r="G82" i="7" s="1"/>
  <c r="D81" i="7" s="1"/>
  <c r="C81" i="7" s="1"/>
  <c r="C38" i="7"/>
  <c r="C8" i="7"/>
  <c r="C23" i="7"/>
  <c r="B26" i="7"/>
  <c r="B25" i="7"/>
  <c r="G25" i="7"/>
  <c r="H3" i="7" l="1"/>
  <c r="H11" i="7" s="1"/>
  <c r="H19" i="7" s="1"/>
  <c r="G11" i="7"/>
  <c r="G19" i="7" s="1"/>
  <c r="C42" i="12"/>
  <c r="B44" i="12"/>
  <c r="C44" i="11"/>
  <c r="B46" i="11"/>
  <c r="C114" i="11"/>
  <c r="B46" i="10"/>
  <c r="C44" i="10"/>
  <c r="C114" i="10"/>
  <c r="C42" i="9"/>
  <c r="B44" i="9"/>
  <c r="D95" i="7"/>
  <c r="C40" i="7"/>
  <c r="H50" i="7" s="1"/>
  <c r="D22" i="7"/>
  <c r="D23" i="7" s="1"/>
  <c r="D25" i="7" s="1"/>
  <c r="C39" i="7"/>
  <c r="C40" i="8"/>
  <c r="H50" i="8" s="1"/>
  <c r="B42" i="8"/>
  <c r="C9" i="8"/>
  <c r="C25" i="8" s="1"/>
  <c r="C52" i="8"/>
  <c r="C42" i="7"/>
  <c r="B44" i="7"/>
  <c r="C9" i="7"/>
  <c r="C25" i="7" s="1"/>
  <c r="C52" i="7"/>
  <c r="C44" i="12" l="1"/>
  <c r="B46" i="12"/>
  <c r="C114" i="12"/>
  <c r="C46" i="11"/>
  <c r="B47" i="11"/>
  <c r="B48" i="11" s="1"/>
  <c r="B47" i="10"/>
  <c r="B48" i="10" s="1"/>
  <c r="C46" i="10"/>
  <c r="C44" i="9"/>
  <c r="C114" i="9"/>
  <c r="B46" i="9"/>
  <c r="C42" i="8"/>
  <c r="B44" i="8"/>
  <c r="C44" i="7"/>
  <c r="B46" i="7"/>
  <c r="C114" i="7"/>
  <c r="C46" i="12" l="1"/>
  <c r="B47" i="12"/>
  <c r="C48" i="11"/>
  <c r="C56" i="11"/>
  <c r="C47" i="11"/>
  <c r="H22" i="11"/>
  <c r="C48" i="10"/>
  <c r="C56" i="10"/>
  <c r="C47" i="10"/>
  <c r="H22" i="10"/>
  <c r="B47" i="9"/>
  <c r="C46" i="9"/>
  <c r="B48" i="9"/>
  <c r="C44" i="8"/>
  <c r="B46" i="8"/>
  <c r="C114" i="8"/>
  <c r="C46" i="7"/>
  <c r="B47" i="7"/>
  <c r="C56" i="12" l="1"/>
  <c r="C47" i="12"/>
  <c r="H22" i="12"/>
  <c r="B48" i="12"/>
  <c r="H8" i="11"/>
  <c r="C57" i="11"/>
  <c r="H23" i="11"/>
  <c r="I22" i="11"/>
  <c r="I23" i="11" s="1"/>
  <c r="C118" i="11" s="1"/>
  <c r="H8" i="10"/>
  <c r="C57" i="10"/>
  <c r="H23" i="10"/>
  <c r="I22" i="10"/>
  <c r="I23" i="10" s="1"/>
  <c r="C118" i="10" s="1"/>
  <c r="C48" i="9"/>
  <c r="C56" i="9"/>
  <c r="C47" i="9"/>
  <c r="H22" i="9"/>
  <c r="C46" i="8"/>
  <c r="B47" i="8"/>
  <c r="B48" i="8" s="1"/>
  <c r="C56" i="7"/>
  <c r="C47" i="7"/>
  <c r="H22" i="7"/>
  <c r="B48" i="7"/>
  <c r="C48" i="12" l="1"/>
  <c r="H23" i="12"/>
  <c r="I22" i="12"/>
  <c r="I23" i="12" s="1"/>
  <c r="C118" i="12" s="1"/>
  <c r="H8" i="12"/>
  <c r="C57" i="12"/>
  <c r="C65" i="11"/>
  <c r="C67" i="11" s="1"/>
  <c r="C63" i="11"/>
  <c r="H9" i="11"/>
  <c r="H25" i="11" s="1"/>
  <c r="I8" i="11"/>
  <c r="I9" i="11" s="1"/>
  <c r="C65" i="10"/>
  <c r="C67" i="10" s="1"/>
  <c r="C63" i="10"/>
  <c r="H9" i="10"/>
  <c r="H25" i="10" s="1"/>
  <c r="I8" i="10"/>
  <c r="I9" i="10" s="1"/>
  <c r="H23" i="9"/>
  <c r="I22" i="9"/>
  <c r="I23" i="9" s="1"/>
  <c r="C118" i="9" s="1"/>
  <c r="H8" i="9"/>
  <c r="C57" i="9"/>
  <c r="C48" i="8"/>
  <c r="C56" i="8"/>
  <c r="C47" i="8"/>
  <c r="H22" i="8"/>
  <c r="C48" i="7"/>
  <c r="H23" i="7"/>
  <c r="I22" i="7"/>
  <c r="I23" i="7" s="1"/>
  <c r="C118" i="7" s="1"/>
  <c r="H8" i="7"/>
  <c r="C57" i="7"/>
  <c r="H9" i="12" l="1"/>
  <c r="H25" i="12" s="1"/>
  <c r="I8" i="12"/>
  <c r="I9" i="12" s="1"/>
  <c r="C65" i="12"/>
  <c r="C67" i="12" s="1"/>
  <c r="C63" i="12"/>
  <c r="I25" i="11"/>
  <c r="C115" i="11"/>
  <c r="C116" i="11" s="1"/>
  <c r="C113" i="11"/>
  <c r="I25" i="10"/>
  <c r="C115" i="10"/>
  <c r="C116" i="10" s="1"/>
  <c r="C113" i="10"/>
  <c r="C65" i="9"/>
  <c r="C67" i="9" s="1"/>
  <c r="C63" i="9"/>
  <c r="H9" i="9"/>
  <c r="H25" i="9" s="1"/>
  <c r="I8" i="9"/>
  <c r="I9" i="9" s="1"/>
  <c r="H23" i="8"/>
  <c r="I22" i="8"/>
  <c r="I23" i="8" s="1"/>
  <c r="C118" i="8" s="1"/>
  <c r="H8" i="8"/>
  <c r="C57" i="8"/>
  <c r="C65" i="7"/>
  <c r="C67" i="7" s="1"/>
  <c r="C63" i="7"/>
  <c r="H9" i="7"/>
  <c r="H25" i="7" s="1"/>
  <c r="I8" i="7"/>
  <c r="I9" i="7" s="1"/>
  <c r="I25" i="12" l="1"/>
  <c r="C115" i="12"/>
  <c r="C116" i="12" s="1"/>
  <c r="C113" i="12"/>
  <c r="I25" i="9"/>
  <c r="C115" i="9"/>
  <c r="C116" i="9" s="1"/>
  <c r="C113" i="9"/>
  <c r="C65" i="8"/>
  <c r="C67" i="8" s="1"/>
  <c r="C63" i="8"/>
  <c r="H9" i="8"/>
  <c r="H25" i="8" s="1"/>
  <c r="I8" i="8"/>
  <c r="I9" i="8" s="1"/>
  <c r="I25" i="7"/>
  <c r="C115" i="7"/>
  <c r="C116" i="7" s="1"/>
  <c r="C113" i="7"/>
  <c r="I25" i="8" l="1"/>
  <c r="C115" i="8"/>
  <c r="C116" i="8" s="1"/>
  <c r="C113" i="8"/>
  <c r="B101" i="6" l="1"/>
  <c r="D101" i="6" s="1"/>
  <c r="B21" i="6" s="1"/>
  <c r="B62" i="6" s="1"/>
  <c r="B100" i="6"/>
  <c r="D100" i="6" s="1"/>
  <c r="B13" i="6" s="1"/>
  <c r="B99" i="6"/>
  <c r="D99" i="6" s="1"/>
  <c r="B5" i="6" s="1"/>
  <c r="B43" i="6" s="1"/>
  <c r="D93" i="6"/>
  <c r="D92" i="6"/>
  <c r="D91" i="6"/>
  <c r="D87" i="6"/>
  <c r="D86" i="6"/>
  <c r="D85" i="6"/>
  <c r="B41" i="6" s="1"/>
  <c r="B85" i="6"/>
  <c r="K82" i="6"/>
  <c r="J82" i="6"/>
  <c r="I82" i="6"/>
  <c r="H82" i="6"/>
  <c r="B81" i="6"/>
  <c r="B80" i="6"/>
  <c r="D79" i="6"/>
  <c r="B79" i="6"/>
  <c r="B78" i="6"/>
  <c r="D78" i="6" s="1"/>
  <c r="I79" i="6" s="1"/>
  <c r="J77" i="6"/>
  <c r="I77" i="6"/>
  <c r="H77" i="6"/>
  <c r="B77" i="6"/>
  <c r="D77" i="6" s="1"/>
  <c r="H79" i="6" s="1"/>
  <c r="D76" i="6"/>
  <c r="B75" i="6"/>
  <c r="D75" i="6" s="1"/>
  <c r="G78" i="6" s="1"/>
  <c r="C64" i="6"/>
  <c r="B63" i="6"/>
  <c r="C60" i="6"/>
  <c r="C59" i="6"/>
  <c r="B57" i="6"/>
  <c r="C53" i="6"/>
  <c r="H17" i="6"/>
  <c r="G17" i="6"/>
  <c r="F17" i="6"/>
  <c r="E17" i="6"/>
  <c r="D17" i="6"/>
  <c r="C17" i="6"/>
  <c r="I16" i="6"/>
  <c r="I15" i="6"/>
  <c r="I14" i="6"/>
  <c r="I11" i="6"/>
  <c r="C11" i="6"/>
  <c r="C19" i="6" s="1"/>
  <c r="B11" i="6"/>
  <c r="D9" i="6"/>
  <c r="I7" i="6"/>
  <c r="I6" i="6"/>
  <c r="A5" i="6"/>
  <c r="D3" i="6"/>
  <c r="E3" i="6" s="1"/>
  <c r="E8" i="5"/>
  <c r="B41" i="5"/>
  <c r="C54" i="5" s="1"/>
  <c r="B101" i="5"/>
  <c r="D101" i="5" s="1"/>
  <c r="B21" i="5" s="1"/>
  <c r="B100" i="5"/>
  <c r="D100" i="5" s="1"/>
  <c r="B13" i="5" s="1"/>
  <c r="B99" i="5"/>
  <c r="D99" i="5" s="1"/>
  <c r="B5" i="5" s="1"/>
  <c r="D93" i="5"/>
  <c r="D92" i="5"/>
  <c r="D91" i="5"/>
  <c r="D87" i="5"/>
  <c r="D86" i="5"/>
  <c r="B85" i="5"/>
  <c r="D85" i="5" s="1"/>
  <c r="K82" i="5"/>
  <c r="J82" i="5"/>
  <c r="I82" i="5"/>
  <c r="H82" i="5"/>
  <c r="B81" i="5"/>
  <c r="B80" i="5"/>
  <c r="D79" i="5"/>
  <c r="B79" i="5"/>
  <c r="B78" i="5"/>
  <c r="D78" i="5" s="1"/>
  <c r="I79" i="5" s="1"/>
  <c r="J77" i="5"/>
  <c r="I77" i="5"/>
  <c r="H77" i="5"/>
  <c r="B77" i="5"/>
  <c r="D77" i="5" s="1"/>
  <c r="H79" i="5" s="1"/>
  <c r="D76" i="5"/>
  <c r="B75" i="5"/>
  <c r="D75" i="5" s="1"/>
  <c r="G78" i="5" s="1"/>
  <c r="C64" i="5"/>
  <c r="B63" i="5"/>
  <c r="C60" i="5"/>
  <c r="C59" i="5"/>
  <c r="B57" i="5"/>
  <c r="C53" i="5"/>
  <c r="H17" i="5"/>
  <c r="G17" i="5"/>
  <c r="F17" i="5"/>
  <c r="E17" i="5"/>
  <c r="D17" i="5"/>
  <c r="C17" i="5"/>
  <c r="I16" i="5"/>
  <c r="I15" i="5"/>
  <c r="I14" i="5"/>
  <c r="I11" i="5"/>
  <c r="C11" i="5"/>
  <c r="C19" i="5" s="1"/>
  <c r="B11" i="5"/>
  <c r="D9" i="5"/>
  <c r="I7" i="5"/>
  <c r="I6" i="5"/>
  <c r="A5" i="5"/>
  <c r="D3" i="5"/>
  <c r="E3" i="5" s="1"/>
  <c r="E11" i="5" s="1"/>
  <c r="E19" i="5" s="1"/>
  <c r="B101" i="4"/>
  <c r="D101" i="4" s="1"/>
  <c r="B21" i="4" s="1"/>
  <c r="B100" i="4"/>
  <c r="D100" i="4" s="1"/>
  <c r="B13" i="4" s="1"/>
  <c r="B99" i="4"/>
  <c r="D99" i="4" s="1"/>
  <c r="B5" i="4" s="1"/>
  <c r="D93" i="4"/>
  <c r="D92" i="4"/>
  <c r="D91" i="4"/>
  <c r="D87" i="4"/>
  <c r="D86" i="4"/>
  <c r="B85" i="4"/>
  <c r="D85" i="4" s="1"/>
  <c r="B41" i="4" s="1"/>
  <c r="K82" i="4"/>
  <c r="J82" i="4"/>
  <c r="I82" i="4"/>
  <c r="H82" i="4"/>
  <c r="B81" i="4"/>
  <c r="B80" i="4"/>
  <c r="B79" i="4"/>
  <c r="D79" i="4" s="1"/>
  <c r="B78" i="4"/>
  <c r="D78" i="4" s="1"/>
  <c r="I79" i="4" s="1"/>
  <c r="J77" i="4"/>
  <c r="I77" i="4"/>
  <c r="H77" i="4"/>
  <c r="D77" i="4"/>
  <c r="H79" i="4" s="1"/>
  <c r="B77" i="4"/>
  <c r="D76" i="4"/>
  <c r="B75" i="4"/>
  <c r="D75" i="4" s="1"/>
  <c r="G78" i="4" s="1"/>
  <c r="C64" i="4"/>
  <c r="B63" i="4"/>
  <c r="C60" i="4"/>
  <c r="C59" i="4"/>
  <c r="B57" i="4"/>
  <c r="C53" i="4"/>
  <c r="H17" i="4"/>
  <c r="G17" i="4"/>
  <c r="F17" i="4"/>
  <c r="E17" i="4"/>
  <c r="D17" i="4"/>
  <c r="C17" i="4"/>
  <c r="I16" i="4"/>
  <c r="I15" i="4"/>
  <c r="I14" i="4"/>
  <c r="I11" i="4"/>
  <c r="C11" i="4"/>
  <c r="C19" i="4" s="1"/>
  <c r="B11" i="4"/>
  <c r="D9" i="4"/>
  <c r="I7" i="4"/>
  <c r="I6" i="4"/>
  <c r="A5" i="4"/>
  <c r="D3" i="4"/>
  <c r="D11" i="4" s="1"/>
  <c r="D19" i="4" s="1"/>
  <c r="D80" i="5" l="1"/>
  <c r="D11" i="6"/>
  <c r="D19" i="6" s="1"/>
  <c r="D80" i="6"/>
  <c r="E3" i="4"/>
  <c r="E11" i="4" s="1"/>
  <c r="E19" i="4" s="1"/>
  <c r="D11" i="5"/>
  <c r="D19" i="5" s="1"/>
  <c r="D80" i="4"/>
  <c r="H78" i="6"/>
  <c r="B37" i="6"/>
  <c r="C43" i="6" s="1"/>
  <c r="I78" i="6"/>
  <c r="C54" i="6"/>
  <c r="E8" i="6" s="1"/>
  <c r="E9" i="6" s="1"/>
  <c r="E22" i="6"/>
  <c r="E23" i="6" s="1"/>
  <c r="B8" i="6"/>
  <c r="B45" i="6"/>
  <c r="B17" i="6"/>
  <c r="I13" i="6"/>
  <c r="I17" i="6" s="1"/>
  <c r="B61" i="6"/>
  <c r="F3" i="6"/>
  <c r="E11" i="6"/>
  <c r="E19" i="6" s="1"/>
  <c r="F22" i="6"/>
  <c r="F23" i="6" s="1"/>
  <c r="F5" i="6"/>
  <c r="B64" i="6"/>
  <c r="J79" i="6"/>
  <c r="J78" i="6" s="1"/>
  <c r="B9" i="6"/>
  <c r="I21" i="6"/>
  <c r="B23" i="6"/>
  <c r="B58" i="6"/>
  <c r="B60" i="6" s="1"/>
  <c r="B58" i="5"/>
  <c r="B43" i="5"/>
  <c r="B61" i="5"/>
  <c r="B45" i="5"/>
  <c r="B17" i="5"/>
  <c r="I13" i="5"/>
  <c r="I17" i="5" s="1"/>
  <c r="H78" i="5"/>
  <c r="B37" i="5"/>
  <c r="I78" i="5"/>
  <c r="E22" i="5"/>
  <c r="E23" i="5" s="1"/>
  <c r="E9" i="5"/>
  <c r="E25" i="5" s="1"/>
  <c r="B8" i="5"/>
  <c r="B9" i="5" s="1"/>
  <c r="B23" i="5"/>
  <c r="B62" i="5"/>
  <c r="I21" i="5"/>
  <c r="J79" i="5"/>
  <c r="K79" i="5" s="1"/>
  <c r="F3" i="5"/>
  <c r="B60" i="5"/>
  <c r="B58" i="4"/>
  <c r="B60" i="4" s="1"/>
  <c r="B65" i="4" s="1"/>
  <c r="B67" i="4" s="1"/>
  <c r="B43" i="4"/>
  <c r="B61" i="4"/>
  <c r="B45" i="4"/>
  <c r="B17" i="4"/>
  <c r="I13" i="4"/>
  <c r="I17" i="4" s="1"/>
  <c r="H78" i="4"/>
  <c r="I78" i="4"/>
  <c r="B37" i="4"/>
  <c r="E22" i="4"/>
  <c r="E23" i="4" s="1"/>
  <c r="C54" i="4"/>
  <c r="E8" i="4" s="1"/>
  <c r="E9" i="4" s="1"/>
  <c r="I21" i="4"/>
  <c r="B62" i="4"/>
  <c r="B64" i="4" s="1"/>
  <c r="B8" i="4"/>
  <c r="B23" i="4"/>
  <c r="J79" i="4"/>
  <c r="K79" i="4" s="1"/>
  <c r="K78" i="4" s="1"/>
  <c r="F3" i="4"/>
  <c r="J78" i="5" l="1"/>
  <c r="B65" i="6"/>
  <c r="B67" i="6" s="1"/>
  <c r="C66" i="6"/>
  <c r="J80" i="6"/>
  <c r="J81" i="6" s="1"/>
  <c r="I80" i="6"/>
  <c r="I81" i="6" s="1"/>
  <c r="E25" i="6"/>
  <c r="C37" i="6"/>
  <c r="C22" i="6"/>
  <c r="B38" i="6"/>
  <c r="K79" i="6"/>
  <c r="K78" i="6" s="1"/>
  <c r="I5" i="6"/>
  <c r="F9" i="6"/>
  <c r="F25" i="6" s="1"/>
  <c r="G3" i="6"/>
  <c r="F11" i="6"/>
  <c r="F19" i="6" s="1"/>
  <c r="C45" i="6"/>
  <c r="G22" i="6"/>
  <c r="G23" i="6" s="1"/>
  <c r="C55" i="6"/>
  <c r="G8" i="6" s="1"/>
  <c r="G9" i="6" s="1"/>
  <c r="C41" i="6"/>
  <c r="B26" i="6"/>
  <c r="B25" i="6"/>
  <c r="H80" i="6"/>
  <c r="H81" i="6" s="1"/>
  <c r="K78" i="5"/>
  <c r="G79" i="5"/>
  <c r="B25" i="5"/>
  <c r="B26" i="5"/>
  <c r="B38" i="5"/>
  <c r="C37" i="5"/>
  <c r="C22" i="5"/>
  <c r="C41" i="5"/>
  <c r="J81" i="5"/>
  <c r="J80" i="5"/>
  <c r="G3" i="5"/>
  <c r="F11" i="5"/>
  <c r="F19" i="5" s="1"/>
  <c r="C43" i="5"/>
  <c r="F5" i="5"/>
  <c r="F22" i="5"/>
  <c r="F23" i="5" s="1"/>
  <c r="B64" i="5"/>
  <c r="B65" i="5" s="1"/>
  <c r="B67" i="5" s="1"/>
  <c r="I80" i="5"/>
  <c r="I81" i="5" s="1"/>
  <c r="H80" i="5"/>
  <c r="C45" i="5"/>
  <c r="C55" i="5"/>
  <c r="G8" i="5" s="1"/>
  <c r="G9" i="5" s="1"/>
  <c r="G22" i="5"/>
  <c r="G23" i="5" s="1"/>
  <c r="K80" i="4"/>
  <c r="K81" i="4" s="1"/>
  <c r="K84" i="4" s="1"/>
  <c r="C66" i="4"/>
  <c r="F11" i="4"/>
  <c r="F19" i="4" s="1"/>
  <c r="G3" i="4"/>
  <c r="I80" i="4"/>
  <c r="I81" i="4" s="1"/>
  <c r="I84" i="4" s="1"/>
  <c r="C45" i="4"/>
  <c r="C55" i="4"/>
  <c r="G8" i="4" s="1"/>
  <c r="G9" i="4" s="1"/>
  <c r="G22" i="4"/>
  <c r="G23" i="4" s="1"/>
  <c r="B38" i="4"/>
  <c r="C37" i="4"/>
  <c r="C22" i="4"/>
  <c r="H80" i="4"/>
  <c r="C43" i="4"/>
  <c r="F5" i="4"/>
  <c r="F22" i="4"/>
  <c r="F23" i="4" s="1"/>
  <c r="E25" i="4"/>
  <c r="J78" i="4"/>
  <c r="G79" i="4"/>
  <c r="C41" i="4"/>
  <c r="B9" i="4"/>
  <c r="G25" i="6" l="1"/>
  <c r="C23" i="6"/>
  <c r="C38" i="6"/>
  <c r="C8" i="6"/>
  <c r="K80" i="6"/>
  <c r="K81" i="6" s="1"/>
  <c r="G81" i="6" s="1"/>
  <c r="G82" i="6" s="1"/>
  <c r="D81" i="6" s="1"/>
  <c r="C81" i="6" s="1"/>
  <c r="G11" i="6"/>
  <c r="G19" i="6" s="1"/>
  <c r="H3" i="6"/>
  <c r="H11" i="6" s="1"/>
  <c r="H19" i="6" s="1"/>
  <c r="G79" i="6"/>
  <c r="C66" i="5"/>
  <c r="H81" i="5"/>
  <c r="C23" i="5"/>
  <c r="C8" i="5"/>
  <c r="C38" i="5"/>
  <c r="G25" i="5"/>
  <c r="H3" i="5"/>
  <c r="H11" i="5" s="1"/>
  <c r="H19" i="5" s="1"/>
  <c r="G11" i="5"/>
  <c r="G19" i="5" s="1"/>
  <c r="K80" i="5"/>
  <c r="G80" i="5" s="1"/>
  <c r="B39" i="5" s="1"/>
  <c r="F9" i="5"/>
  <c r="F25" i="5" s="1"/>
  <c r="I5" i="5"/>
  <c r="C23" i="4"/>
  <c r="B26" i="4"/>
  <c r="B25" i="4"/>
  <c r="G25" i="4"/>
  <c r="H3" i="4"/>
  <c r="H11" i="4" s="1"/>
  <c r="H19" i="4" s="1"/>
  <c r="G11" i="4"/>
  <c r="G19" i="4" s="1"/>
  <c r="F9" i="4"/>
  <c r="F25" i="4" s="1"/>
  <c r="I5" i="4"/>
  <c r="J80" i="4"/>
  <c r="J81" i="4" s="1"/>
  <c r="J84" i="4" s="1"/>
  <c r="C8" i="4"/>
  <c r="C38" i="4"/>
  <c r="H81" i="4"/>
  <c r="H84" i="4" s="1"/>
  <c r="K81" i="5" l="1"/>
  <c r="G80" i="4"/>
  <c r="B39" i="4" s="1"/>
  <c r="D95" i="4" s="1"/>
  <c r="C52" i="6"/>
  <c r="C9" i="6"/>
  <c r="C25" i="6" s="1"/>
  <c r="G80" i="6"/>
  <c r="B39" i="6" s="1"/>
  <c r="G81" i="5"/>
  <c r="G82" i="5" s="1"/>
  <c r="D81" i="5" s="1"/>
  <c r="C81" i="5" s="1"/>
  <c r="C52" i="5"/>
  <c r="C9" i="5"/>
  <c r="C25" i="5" s="1"/>
  <c r="D22" i="5"/>
  <c r="C39" i="5"/>
  <c r="D95" i="5"/>
  <c r="B40" i="5"/>
  <c r="G81" i="4"/>
  <c r="C52" i="4"/>
  <c r="C9" i="4"/>
  <c r="C25" i="4" s="1"/>
  <c r="G82" i="4" l="1"/>
  <c r="D81" i="4" s="1"/>
  <c r="C81" i="4" s="1"/>
  <c r="G84" i="4"/>
  <c r="D22" i="4"/>
  <c r="D23" i="4" s="1"/>
  <c r="D25" i="4" s="1"/>
  <c r="C39" i="4"/>
  <c r="B40" i="4"/>
  <c r="C40" i="4" s="1"/>
  <c r="H50" i="4" s="1"/>
  <c r="C39" i="6"/>
  <c r="D22" i="6"/>
  <c r="D95" i="6"/>
  <c r="B40" i="6"/>
  <c r="D23" i="5"/>
  <c r="D25" i="5" s="1"/>
  <c r="B42" i="5"/>
  <c r="C40" i="5"/>
  <c r="B42" i="4" l="1"/>
  <c r="B44" i="4" s="1"/>
  <c r="D23" i="6"/>
  <c r="D25" i="6" s="1"/>
  <c r="C40" i="6"/>
  <c r="B42" i="6"/>
  <c r="B44" i="5"/>
  <c r="C42" i="5"/>
  <c r="C42" i="4" l="1"/>
  <c r="C42" i="6"/>
  <c r="B44" i="6"/>
  <c r="B46" i="5"/>
  <c r="C44" i="5"/>
  <c r="B46" i="4"/>
  <c r="C44" i="4"/>
  <c r="B46" i="6" l="1"/>
  <c r="C44" i="6"/>
  <c r="B47" i="5"/>
  <c r="C46" i="5"/>
  <c r="B47" i="4"/>
  <c r="B48" i="4" s="1"/>
  <c r="C48" i="4" s="1"/>
  <c r="C46" i="4"/>
  <c r="B47" i="6" l="1"/>
  <c r="C46" i="6"/>
  <c r="C56" i="5"/>
  <c r="C47" i="5"/>
  <c r="H22" i="5"/>
  <c r="B48" i="5"/>
  <c r="C48" i="5" s="1"/>
  <c r="C56" i="4"/>
  <c r="C47" i="4"/>
  <c r="H22" i="4"/>
  <c r="C47" i="6" l="1"/>
  <c r="H22" i="6"/>
  <c r="C56" i="6"/>
  <c r="B48" i="6"/>
  <c r="C48" i="6" s="1"/>
  <c r="H8" i="5"/>
  <c r="C57" i="5"/>
  <c r="H23" i="5"/>
  <c r="I22" i="5"/>
  <c r="I23" i="5" s="1"/>
  <c r="H23" i="4"/>
  <c r="I22" i="4"/>
  <c r="I23" i="4" s="1"/>
  <c r="H8" i="4"/>
  <c r="C57" i="4"/>
  <c r="H23" i="6" l="1"/>
  <c r="I22" i="6"/>
  <c r="I23" i="6" s="1"/>
  <c r="H8" i="6"/>
  <c r="C57" i="6"/>
  <c r="C65" i="5"/>
  <c r="C67" i="5" s="1"/>
  <c r="C63" i="5"/>
  <c r="H9" i="5"/>
  <c r="H25" i="5" s="1"/>
  <c r="I8" i="5"/>
  <c r="I9" i="5" s="1"/>
  <c r="I25" i="5" s="1"/>
  <c r="C65" i="4"/>
  <c r="C67" i="4" s="1"/>
  <c r="C63" i="4"/>
  <c r="H9" i="4"/>
  <c r="H25" i="4" s="1"/>
  <c r="I8" i="4"/>
  <c r="I9" i="4" s="1"/>
  <c r="I25" i="4" s="1"/>
  <c r="C65" i="6" l="1"/>
  <c r="C67" i="6" s="1"/>
  <c r="C63" i="6"/>
  <c r="H9" i="6"/>
  <c r="H25" i="6" s="1"/>
  <c r="I8" i="6"/>
  <c r="I9" i="6" s="1"/>
  <c r="I25" i="6" s="1"/>
  <c r="C125" i="3"/>
  <c r="B125" i="3"/>
  <c r="B124" i="3"/>
  <c r="C121" i="3"/>
  <c r="C120" i="3"/>
  <c r="C118" i="3"/>
  <c r="C126" i="3" s="1"/>
  <c r="B118" i="3"/>
  <c r="C105" i="3"/>
  <c r="B105" i="3"/>
  <c r="B104" i="3"/>
  <c r="C101" i="3"/>
  <c r="C100" i="3"/>
  <c r="C98" i="3"/>
  <c r="B98" i="3"/>
  <c r="C85" i="3"/>
  <c r="B84" i="3"/>
  <c r="B85" i="3"/>
  <c r="C81" i="3"/>
  <c r="C80" i="3"/>
  <c r="C78" i="3"/>
  <c r="B78" i="3"/>
  <c r="D3" i="3"/>
  <c r="E3" i="3" s="1"/>
  <c r="I6" i="3"/>
  <c r="I7" i="3"/>
  <c r="C8" i="3"/>
  <c r="C9" i="3" s="1"/>
  <c r="E8" i="3"/>
  <c r="E9" i="3" s="1"/>
  <c r="D9" i="3"/>
  <c r="B11" i="3"/>
  <c r="C11" i="3"/>
  <c r="D11" i="3"/>
  <c r="I11" i="3"/>
  <c r="B13" i="3"/>
  <c r="I13" i="3" s="1"/>
  <c r="I14" i="3"/>
  <c r="I15" i="3"/>
  <c r="I16" i="3"/>
  <c r="I17" i="3"/>
  <c r="C18" i="3"/>
  <c r="D18" i="3"/>
  <c r="E18" i="3"/>
  <c r="F18" i="3"/>
  <c r="G18" i="3"/>
  <c r="H18" i="3"/>
  <c r="C20" i="3"/>
  <c r="D20" i="3"/>
  <c r="B22" i="3"/>
  <c r="I22" i="3" s="1"/>
  <c r="E23" i="3"/>
  <c r="E24" i="3" s="1"/>
  <c r="C30" i="3"/>
  <c r="C32" i="3" s="1"/>
  <c r="D30" i="3"/>
  <c r="E30" i="3"/>
  <c r="E32" i="3" s="1"/>
  <c r="E33" i="3" s="1"/>
  <c r="F31" i="3"/>
  <c r="F30" i="3" s="1"/>
  <c r="D32" i="3"/>
  <c r="D33" i="3" s="1"/>
  <c r="B38" i="3"/>
  <c r="B39" i="3" s="1"/>
  <c r="C39" i="3" s="1"/>
  <c r="C38" i="3"/>
  <c r="B42" i="3"/>
  <c r="B44" i="3"/>
  <c r="F23" i="3" s="1"/>
  <c r="F24" i="3" s="1"/>
  <c r="C65" i="3"/>
  <c r="B64" i="3"/>
  <c r="C61" i="3"/>
  <c r="C60" i="3"/>
  <c r="B59" i="3"/>
  <c r="B58" i="3"/>
  <c r="B38" i="2"/>
  <c r="F3" i="3" l="1"/>
  <c r="E11" i="3"/>
  <c r="E20" i="3" s="1"/>
  <c r="C44" i="3"/>
  <c r="C106" i="3"/>
  <c r="C42" i="3"/>
  <c r="C86" i="3"/>
  <c r="B121" i="3"/>
  <c r="B126" i="3" s="1"/>
  <c r="B128" i="3" s="1"/>
  <c r="I18" i="3"/>
  <c r="E26" i="3"/>
  <c r="B101" i="3"/>
  <c r="B106" i="3" s="1"/>
  <c r="B108" i="3" s="1"/>
  <c r="B81" i="3"/>
  <c r="B86" i="3" s="1"/>
  <c r="B88" i="3" s="1"/>
  <c r="C33" i="3"/>
  <c r="B32" i="3"/>
  <c r="B40" i="3" s="1"/>
  <c r="B41" i="3" s="1"/>
  <c r="F32" i="3"/>
  <c r="F33" i="3" s="1"/>
  <c r="G3" i="3"/>
  <c r="F11" i="3"/>
  <c r="F20" i="3" s="1"/>
  <c r="B31" i="3"/>
  <c r="C23" i="3"/>
  <c r="B18" i="3"/>
  <c r="F5" i="3"/>
  <c r="B46" i="3"/>
  <c r="B62" i="3"/>
  <c r="B63" i="3"/>
  <c r="B65" i="3" s="1"/>
  <c r="B24" i="3"/>
  <c r="B61" i="3"/>
  <c r="C65" i="2"/>
  <c r="B64" i="2"/>
  <c r="C61" i="2"/>
  <c r="C60" i="2"/>
  <c r="B59" i="2"/>
  <c r="B58" i="2"/>
  <c r="B44" i="2"/>
  <c r="F23" i="2" s="1"/>
  <c r="F24" i="2" s="1"/>
  <c r="B42" i="2"/>
  <c r="C55" i="2" s="1"/>
  <c r="E8" i="2" s="1"/>
  <c r="E9" i="2" s="1"/>
  <c r="C8" i="2"/>
  <c r="F31" i="2"/>
  <c r="F30" i="2" s="1"/>
  <c r="B31" i="2"/>
  <c r="E30" i="2"/>
  <c r="E32" i="2" s="1"/>
  <c r="D30" i="2"/>
  <c r="D32" i="2" s="1"/>
  <c r="C30" i="2"/>
  <c r="C23" i="2"/>
  <c r="C24" i="2" s="1"/>
  <c r="B22" i="2"/>
  <c r="B63" i="2" s="1"/>
  <c r="H18" i="2"/>
  <c r="G18" i="2"/>
  <c r="F18" i="2"/>
  <c r="E18" i="2"/>
  <c r="D18" i="2"/>
  <c r="C18" i="2"/>
  <c r="B18" i="2"/>
  <c r="I17" i="2"/>
  <c r="I16" i="2"/>
  <c r="I15" i="2"/>
  <c r="I14" i="2"/>
  <c r="B13" i="2"/>
  <c r="B46" i="2" s="1"/>
  <c r="I11" i="2"/>
  <c r="C11" i="2"/>
  <c r="C20" i="2" s="1"/>
  <c r="B11" i="2"/>
  <c r="I7" i="2"/>
  <c r="I6" i="2"/>
  <c r="F5" i="2"/>
  <c r="I5" i="2" s="1"/>
  <c r="D3" i="2"/>
  <c r="D11" i="2" s="1"/>
  <c r="D20" i="2" s="1"/>
  <c r="C127" i="3" l="1"/>
  <c r="C128" i="3" s="1"/>
  <c r="C124" i="3"/>
  <c r="E23" i="2"/>
  <c r="E24" i="2" s="1"/>
  <c r="C42" i="2"/>
  <c r="F9" i="2"/>
  <c r="F26" i="2" s="1"/>
  <c r="C104" i="3"/>
  <c r="C107" i="3"/>
  <c r="C108" i="3" s="1"/>
  <c r="C84" i="3"/>
  <c r="C87" i="3"/>
  <c r="C88" i="3" s="1"/>
  <c r="B43" i="3"/>
  <c r="C41" i="3"/>
  <c r="H3" i="3"/>
  <c r="H11" i="3" s="1"/>
  <c r="H20" i="3" s="1"/>
  <c r="G11" i="3"/>
  <c r="G20" i="3" s="1"/>
  <c r="C40" i="3"/>
  <c r="D23" i="3"/>
  <c r="D24" i="3" s="1"/>
  <c r="D26" i="3" s="1"/>
  <c r="C24" i="3"/>
  <c r="C26" i="3" s="1"/>
  <c r="B33" i="3"/>
  <c r="B34" i="3" s="1"/>
  <c r="F9" i="3"/>
  <c r="F26" i="3" s="1"/>
  <c r="I5" i="3"/>
  <c r="B66" i="3"/>
  <c r="B8" i="3" s="1"/>
  <c r="G23" i="3"/>
  <c r="G24" i="3" s="1"/>
  <c r="C46" i="3"/>
  <c r="C56" i="3"/>
  <c r="G8" i="3" s="1"/>
  <c r="G9" i="3" s="1"/>
  <c r="B39" i="2"/>
  <c r="C39" i="2" s="1"/>
  <c r="C44" i="2"/>
  <c r="D33" i="2"/>
  <c r="C38" i="2"/>
  <c r="C56" i="2"/>
  <c r="G8" i="2" s="1"/>
  <c r="G9" i="2" s="1"/>
  <c r="G23" i="2"/>
  <c r="G24" i="2" s="1"/>
  <c r="C46" i="2"/>
  <c r="F32" i="2"/>
  <c r="F33" i="2" s="1"/>
  <c r="C9" i="2"/>
  <c r="C26" i="2" s="1"/>
  <c r="E26" i="2"/>
  <c r="E33" i="2"/>
  <c r="B61" i="2"/>
  <c r="E3" i="2"/>
  <c r="I13" i="2"/>
  <c r="I18" i="2" s="1"/>
  <c r="I22" i="2"/>
  <c r="B24" i="2"/>
  <c r="C32" i="2"/>
  <c r="B62" i="2"/>
  <c r="B65" i="2" s="1"/>
  <c r="C30" i="1"/>
  <c r="C32" i="1" s="1"/>
  <c r="D30" i="1"/>
  <c r="E30" i="1"/>
  <c r="E32" i="1" s="1"/>
  <c r="E33" i="1" s="1"/>
  <c r="F31" i="1"/>
  <c r="F30" i="1" s="1"/>
  <c r="D32" i="1"/>
  <c r="D33" i="1" s="1"/>
  <c r="C65" i="1"/>
  <c r="B64" i="1"/>
  <c r="C61" i="1"/>
  <c r="C60" i="1"/>
  <c r="B59" i="1"/>
  <c r="B58" i="1"/>
  <c r="B44" i="1"/>
  <c r="F23" i="1" s="1"/>
  <c r="F24" i="1" s="1"/>
  <c r="B42" i="1"/>
  <c r="C55" i="1" s="1"/>
  <c r="E8" i="1" s="1"/>
  <c r="E9" i="1" s="1"/>
  <c r="B38" i="1"/>
  <c r="C53" i="1" s="1"/>
  <c r="B22" i="1"/>
  <c r="B63" i="1" s="1"/>
  <c r="H18" i="1"/>
  <c r="G18" i="1"/>
  <c r="F18" i="1"/>
  <c r="E18" i="1"/>
  <c r="D18" i="1"/>
  <c r="C18" i="1"/>
  <c r="I17" i="1"/>
  <c r="I16" i="1"/>
  <c r="I15" i="1"/>
  <c r="I14" i="1"/>
  <c r="B13" i="1"/>
  <c r="B62" i="1" s="1"/>
  <c r="I11" i="1"/>
  <c r="C11" i="1"/>
  <c r="C20" i="1" s="1"/>
  <c r="B11" i="1"/>
  <c r="I7" i="1"/>
  <c r="I6" i="1"/>
  <c r="D3" i="1"/>
  <c r="D11" i="1" s="1"/>
  <c r="D20" i="1" s="1"/>
  <c r="G26" i="3" l="1"/>
  <c r="F5" i="1"/>
  <c r="I5" i="1" s="1"/>
  <c r="B66" i="2"/>
  <c r="B68" i="2" s="1"/>
  <c r="G26" i="2"/>
  <c r="B9" i="3"/>
  <c r="B68" i="3"/>
  <c r="C67" i="3" s="1"/>
  <c r="B45" i="3"/>
  <c r="C43" i="3"/>
  <c r="B32" i="2"/>
  <c r="B40" i="2" s="1"/>
  <c r="E11" i="2"/>
  <c r="E20" i="2" s="1"/>
  <c r="F3" i="2"/>
  <c r="C33" i="2"/>
  <c r="B33" i="2" s="1"/>
  <c r="B34" i="2" s="1"/>
  <c r="B31" i="1"/>
  <c r="F32" i="1"/>
  <c r="F33" i="1" s="1"/>
  <c r="C33" i="1"/>
  <c r="F9" i="1"/>
  <c r="F26" i="1" s="1"/>
  <c r="E23" i="1"/>
  <c r="E24" i="1" s="1"/>
  <c r="E26" i="1" s="1"/>
  <c r="C23" i="1"/>
  <c r="C24" i="1" s="1"/>
  <c r="C38" i="1"/>
  <c r="C42" i="1"/>
  <c r="C44" i="1"/>
  <c r="B65" i="1"/>
  <c r="C8" i="1"/>
  <c r="C9" i="1" s="1"/>
  <c r="E3" i="1"/>
  <c r="I13" i="1"/>
  <c r="I18" i="1" s="1"/>
  <c r="I22" i="1"/>
  <c r="B24" i="1"/>
  <c r="B39" i="1"/>
  <c r="C39" i="1" s="1"/>
  <c r="B46" i="1"/>
  <c r="B18" i="1"/>
  <c r="B61" i="1"/>
  <c r="B8" i="2" l="1"/>
  <c r="B26" i="3"/>
  <c r="B27" i="3"/>
  <c r="B47" i="3"/>
  <c r="C45" i="3"/>
  <c r="D23" i="2"/>
  <c r="C40" i="2"/>
  <c r="B41" i="2"/>
  <c r="B9" i="2"/>
  <c r="G3" i="2"/>
  <c r="F11" i="2"/>
  <c r="F20" i="2" s="1"/>
  <c r="C67" i="2"/>
  <c r="B33" i="1"/>
  <c r="B34" i="1" s="1"/>
  <c r="B32" i="1"/>
  <c r="B40" i="1" s="1"/>
  <c r="B66" i="1"/>
  <c r="B8" i="1" s="1"/>
  <c r="C26" i="1"/>
  <c r="C56" i="1"/>
  <c r="G8" i="1" s="1"/>
  <c r="G9" i="1" s="1"/>
  <c r="C46" i="1"/>
  <c r="G23" i="1"/>
  <c r="G24" i="1" s="1"/>
  <c r="F3" i="1"/>
  <c r="E11" i="1"/>
  <c r="E20" i="1" s="1"/>
  <c r="C47" i="3" l="1"/>
  <c r="B48" i="3"/>
  <c r="C41" i="2"/>
  <c r="B43" i="2"/>
  <c r="H3" i="2"/>
  <c r="H11" i="2" s="1"/>
  <c r="H20" i="2" s="1"/>
  <c r="G11" i="2"/>
  <c r="G20" i="2" s="1"/>
  <c r="B27" i="2"/>
  <c r="B26" i="2"/>
  <c r="D24" i="2"/>
  <c r="B68" i="1"/>
  <c r="F11" i="1"/>
  <c r="F20" i="1" s="1"/>
  <c r="G3" i="1"/>
  <c r="C54" i="1"/>
  <c r="C40" i="1"/>
  <c r="D23" i="1"/>
  <c r="B41" i="1"/>
  <c r="B9" i="1"/>
  <c r="B27" i="1" s="1"/>
  <c r="G26" i="1"/>
  <c r="C67" i="1"/>
  <c r="C48" i="3" l="1"/>
  <c r="H23" i="3"/>
  <c r="B49" i="3"/>
  <c r="C49" i="3" s="1"/>
  <c r="D9" i="2"/>
  <c r="D26" i="2" s="1"/>
  <c r="C43" i="2"/>
  <c r="B45" i="2"/>
  <c r="C41" i="1"/>
  <c r="B43" i="1"/>
  <c r="G11" i="1"/>
  <c r="G20" i="1" s="1"/>
  <c r="H3" i="1"/>
  <c r="H11" i="1" s="1"/>
  <c r="H20" i="1" s="1"/>
  <c r="B26" i="1"/>
  <c r="D24" i="1"/>
  <c r="D8" i="1"/>
  <c r="H24" i="3" l="1"/>
  <c r="I23" i="3"/>
  <c r="I24" i="3" s="1"/>
  <c r="C57" i="3"/>
  <c r="H8" i="3" s="1"/>
  <c r="C45" i="2"/>
  <c r="B47" i="2"/>
  <c r="C43" i="1"/>
  <c r="B45" i="1"/>
  <c r="D9" i="1"/>
  <c r="D26" i="1" s="1"/>
  <c r="H9" i="3" l="1"/>
  <c r="H26" i="3" s="1"/>
  <c r="I8" i="3"/>
  <c r="I9" i="3" s="1"/>
  <c r="I26" i="3" s="1"/>
  <c r="C58" i="3"/>
  <c r="B48" i="2"/>
  <c r="C47" i="2"/>
  <c r="C45" i="1"/>
  <c r="B47" i="1"/>
  <c r="C66" i="3" l="1"/>
  <c r="C68" i="3" s="1"/>
  <c r="C64" i="3"/>
  <c r="C57" i="2"/>
  <c r="H23" i="2"/>
  <c r="C48" i="2"/>
  <c r="B49" i="2"/>
  <c r="C49" i="2" s="1"/>
  <c r="C47" i="1"/>
  <c r="B48" i="1"/>
  <c r="B49" i="1" s="1"/>
  <c r="C49" i="1" s="1"/>
  <c r="H24" i="2" l="1"/>
  <c r="I23" i="2"/>
  <c r="I24" i="2" s="1"/>
  <c r="H8" i="2"/>
  <c r="C58" i="2"/>
  <c r="C48" i="1"/>
  <c r="C57" i="1"/>
  <c r="H23" i="1"/>
  <c r="C66" i="2" l="1"/>
  <c r="C68" i="2" s="1"/>
  <c r="C64" i="2"/>
  <c r="H9" i="2"/>
  <c r="H26" i="2" s="1"/>
  <c r="I8" i="2"/>
  <c r="I9" i="2" s="1"/>
  <c r="I26" i="2" s="1"/>
  <c r="H8" i="1"/>
  <c r="C58" i="1"/>
  <c r="H24" i="1"/>
  <c r="I23" i="1"/>
  <c r="I24" i="1" s="1"/>
  <c r="C66" i="1" l="1"/>
  <c r="C68" i="1" s="1"/>
  <c r="C64" i="1"/>
  <c r="H9" i="1"/>
  <c r="H26" i="1" s="1"/>
  <c r="I8" i="1"/>
  <c r="I9" i="1" s="1"/>
  <c r="I2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Eduardo</author>
  </authors>
  <commentList>
    <comment ref="B24" authorId="0" shapeId="0" xr:uid="{2038689F-7C78-4D25-BFCB-9A494462A397}">
      <text>
        <r>
          <rPr>
            <b/>
            <sz val="8"/>
            <color indexed="81"/>
            <rFont val="Tahoma"/>
            <family val="2"/>
          </rPr>
          <t>Eduardo:</t>
        </r>
        <r>
          <rPr>
            <sz val="8"/>
            <color indexed="81"/>
            <rFont val="Tahoma"/>
            <family val="2"/>
          </rPr>
          <t xml:space="preserve">
PONER 1 A MEDIDA QUE VAMOS HACIENDO EL CASO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Eduardo</author>
  </authors>
  <commentList>
    <comment ref="B24" authorId="0" shapeId="0" xr:uid="{1902B8B8-7776-496B-99A2-1C96E9C88D35}">
      <text>
        <r>
          <rPr>
            <b/>
            <sz val="8"/>
            <color indexed="81"/>
            <rFont val="Tahoma"/>
            <family val="2"/>
          </rPr>
          <t>Eduardo:</t>
        </r>
        <r>
          <rPr>
            <sz val="8"/>
            <color indexed="81"/>
            <rFont val="Tahoma"/>
            <family val="2"/>
          </rPr>
          <t xml:space="preserve">
PONER 1 A MEDIDA QUE VAMOS HACIENDO EL CASO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Eduardo</author>
  </authors>
  <commentList>
    <comment ref="B24" authorId="0" shapeId="0" xr:uid="{C0308BC1-85D2-4BFE-9320-5248C96A10BC}">
      <text>
        <r>
          <rPr>
            <b/>
            <sz val="8"/>
            <color indexed="81"/>
            <rFont val="Tahoma"/>
            <family val="2"/>
          </rPr>
          <t>Eduardo:</t>
        </r>
        <r>
          <rPr>
            <sz val="8"/>
            <color indexed="81"/>
            <rFont val="Tahoma"/>
            <family val="2"/>
          </rPr>
          <t xml:space="preserve">
PONER 1 A MEDIDA QUE VAMOS HACIENDO EL CASO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Eduardo</author>
  </authors>
  <commentList>
    <comment ref="B24" authorId="0" shapeId="0" xr:uid="{980E5C9A-10D5-49E3-BF94-50BB37CDD357}">
      <text>
        <r>
          <rPr>
            <b/>
            <sz val="8"/>
            <color indexed="81"/>
            <rFont val="Tahoma"/>
            <family val="2"/>
          </rPr>
          <t>Eduardo:</t>
        </r>
        <r>
          <rPr>
            <sz val="8"/>
            <color indexed="81"/>
            <rFont val="Tahoma"/>
            <family val="2"/>
          </rPr>
          <t xml:space="preserve">
PONER 1 A MEDIDA QUE VAMOS HACIENDO EL CASO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Eduardo</author>
  </authors>
  <commentList>
    <comment ref="B24" authorId="0" shapeId="0" xr:uid="{4AF9BC86-F823-4925-AA40-193F5AD37EFD}">
      <text>
        <r>
          <rPr>
            <b/>
            <sz val="8"/>
            <color indexed="81"/>
            <rFont val="Tahoma"/>
            <family val="2"/>
          </rPr>
          <t>Eduardo:</t>
        </r>
        <r>
          <rPr>
            <sz val="8"/>
            <color indexed="81"/>
            <rFont val="Tahoma"/>
            <family val="2"/>
          </rPr>
          <t xml:space="preserve">
PONER 1 A MEDIDA QUE VAMOS HACIENDO EL CASO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Eduardo</author>
  </authors>
  <commentList>
    <comment ref="B24" authorId="0" shapeId="0" xr:uid="{69631AA9-D286-42B3-97CD-5D0B2D9B9853}">
      <text>
        <r>
          <rPr>
            <b/>
            <sz val="8"/>
            <color indexed="81"/>
            <rFont val="Tahoma"/>
            <family val="2"/>
          </rPr>
          <t>Eduardo:</t>
        </r>
        <r>
          <rPr>
            <sz val="8"/>
            <color indexed="81"/>
            <rFont val="Tahoma"/>
            <family val="2"/>
          </rPr>
          <t xml:space="preserve">
PONER 1 A MEDIDA QUE VAMOS HACIENDO EL CASO
</t>
        </r>
      </text>
    </comment>
  </commentList>
</comments>
</file>

<file path=xl/sharedStrings.xml><?xml version="1.0" encoding="utf-8"?>
<sst xmlns="http://schemas.openxmlformats.org/spreadsheetml/2006/main" count="1236" uniqueCount="131">
  <si>
    <t>BALANCE DE SITUACIÓN (del negocio)</t>
  </si>
  <si>
    <t>ACTIVO</t>
  </si>
  <si>
    <t>BALANCE INICIAL</t>
  </si>
  <si>
    <t>BALANCE FINAL</t>
  </si>
  <si>
    <t>Canon</t>
  </si>
  <si>
    <t>Existencias</t>
  </si>
  <si>
    <t>Clientes</t>
  </si>
  <si>
    <t>Tesorería</t>
  </si>
  <si>
    <t>TOTAL ACTIVO</t>
  </si>
  <si>
    <t xml:space="preserve"> PASIVO</t>
  </si>
  <si>
    <t>Préstamo a largo plazo</t>
  </si>
  <si>
    <t>Proveedores</t>
  </si>
  <si>
    <t>Otros acreedores</t>
  </si>
  <si>
    <t>Hacienda Pública acreedora</t>
  </si>
  <si>
    <t>Financiación bancaria corto plazo</t>
  </si>
  <si>
    <t>TOTAL PASIVO</t>
  </si>
  <si>
    <t xml:space="preserve">PATRIMONIO NETO = ACTIVO -PASIVO </t>
  </si>
  <si>
    <t>Aportaciones titular de la explotación</t>
  </si>
  <si>
    <t>Resultado (ingresos - gastos)</t>
  </si>
  <si>
    <t>TOTAL PATRIMONIO NETO</t>
  </si>
  <si>
    <t>Comprobación</t>
  </si>
  <si>
    <t>TOTAL</t>
  </si>
  <si>
    <t>TIPOS DE PRODUCTOS</t>
  </si>
  <si>
    <t>BOLSOS</t>
  </si>
  <si>
    <t>ZAPATERIA</t>
  </si>
  <si>
    <t>JOYERIA</t>
  </si>
  <si>
    <t>OTROS</t>
  </si>
  <si>
    <t>Ventas</t>
  </si>
  <si>
    <t>(mix de venta)</t>
  </si>
  <si>
    <t>Consumos de compras</t>
  </si>
  <si>
    <t>Margen (€)</t>
  </si>
  <si>
    <t>Margen (%)</t>
  </si>
  <si>
    <t>CUENTA DE PERDIDAS Y GANANCIAS</t>
  </si>
  <si>
    <t>P &amp; G</t>
  </si>
  <si>
    <t>%</t>
  </si>
  <si>
    <t>Ingresos venta de productos</t>
  </si>
  <si>
    <t>Operación 1</t>
  </si>
  <si>
    <t xml:space="preserve">TOTAL INGRESOS </t>
  </si>
  <si>
    <t>Consumos de compras (Ei + Compras - Ef)</t>
  </si>
  <si>
    <t>Operación 2</t>
  </si>
  <si>
    <t>MARGEN BRUTO  EXPLOTACIÓN</t>
  </si>
  <si>
    <t>Gastos de arrendamientos y otros</t>
  </si>
  <si>
    <t>Operación 3</t>
  </si>
  <si>
    <t>EBITDA</t>
  </si>
  <si>
    <t>Amortizaciones</t>
  </si>
  <si>
    <t>Operación 4</t>
  </si>
  <si>
    <t>B.A.I.I. (Rº EXPLOTACIÓN)</t>
  </si>
  <si>
    <t>Gastos financieros</t>
  </si>
  <si>
    <t>Operación 5</t>
  </si>
  <si>
    <t>B.A.I. (Beneficio antes impuestos)</t>
  </si>
  <si>
    <t>Impuesto sobre sociedades</t>
  </si>
  <si>
    <t>Operación 6</t>
  </si>
  <si>
    <t>B.D.I. (Beneficio neto)</t>
  </si>
  <si>
    <t>ESTADO DE TESORERIA</t>
  </si>
  <si>
    <t>MOMENTO  INICIAL</t>
  </si>
  <si>
    <t>Cobros a clientes</t>
  </si>
  <si>
    <t>Pagos a proveedores</t>
  </si>
  <si>
    <t>Pagos por arrendamientos  y otros</t>
  </si>
  <si>
    <t>Pagos gastos financieros</t>
  </si>
  <si>
    <t>Pagos impuesto sobre sociedades</t>
  </si>
  <si>
    <t>EFE ACTIVIDADES EXPLOTAC.</t>
  </si>
  <si>
    <t>Pagos por inversiones</t>
  </si>
  <si>
    <t>EFE ACTIVIDADES INVERSIÓN</t>
  </si>
  <si>
    <t>Cobros de préstamos</t>
  </si>
  <si>
    <t>Cobros por aportaciones titular de la explotación</t>
  </si>
  <si>
    <t>Cobros por financiación bancaria a corto plazo</t>
  </si>
  <si>
    <t>EFE ACTIVID. FINANCIACIÓN</t>
  </si>
  <si>
    <t>Variación tesorería</t>
  </si>
  <si>
    <t>TESORERIA AL INICIO</t>
  </si>
  <si>
    <t>TESORERIA AL FINAL</t>
  </si>
  <si>
    <t>5% menos de los iniciales 350.000€</t>
  </si>
  <si>
    <t>Mejora un 21,7%</t>
  </si>
  <si>
    <t>Mejora un 52,36%. 125.947€</t>
  </si>
  <si>
    <t>Reducir un 5%el crédito a clientes. Mejora un 6,04%. 87.660€</t>
  </si>
  <si>
    <t>Analisis de sensibilidad</t>
  </si>
  <si>
    <t>Base</t>
  </si>
  <si>
    <t>Variación</t>
  </si>
  <si>
    <t>Valor final</t>
  </si>
  <si>
    <t>A) ACTUACIONES SOBRE LOS INGRESOS</t>
  </si>
  <si>
    <t>Variación en las ventas</t>
  </si>
  <si>
    <t>Variación en el mix de venta</t>
  </si>
  <si>
    <t xml:space="preserve">         Bolsos</t>
  </si>
  <si>
    <t xml:space="preserve">         Zapatería</t>
  </si>
  <si>
    <t xml:space="preserve">         Joyería</t>
  </si>
  <si>
    <t xml:space="preserve">         Otros</t>
  </si>
  <si>
    <t xml:space="preserve">    Impacto sobre el margen</t>
  </si>
  <si>
    <t>B) ACTUACIONES SOBRE LOS GASTOS</t>
  </si>
  <si>
    <t>Variación gastos de arrendamientos  y otros</t>
  </si>
  <si>
    <t>Variacion tipo de interes del préstamo</t>
  </si>
  <si>
    <t>Variacion tipo impositivo</t>
  </si>
  <si>
    <t>C) ACTUACIONES SOBRE LAS INVERSIONES Y LA FINANCIACIÓN OPERATIVA</t>
  </si>
  <si>
    <t>Variación en los dias de crédito a clientes (PMC)</t>
  </si>
  <si>
    <t>Variacion en los días de financiación  provee.( PMP)</t>
  </si>
  <si>
    <t>Variación en los dias de almacenamiento  (PMA)</t>
  </si>
  <si>
    <t>Volumen de compras (Consumos + Ef -Ei)</t>
  </si>
  <si>
    <t>D) ACTUACIONES SOBRE LAS INVERSIONES Y LA FINANCIACIÓN A LARGO PLAZO</t>
  </si>
  <si>
    <t>Variación en el importe inicial de la concesión</t>
  </si>
  <si>
    <t>Variacion en el importe inicial del préstamo solicitado</t>
  </si>
  <si>
    <t xml:space="preserve">Variacion en el importe inicial de la aportación del titular </t>
  </si>
  <si>
    <t xml:space="preserve">Impuesto Sociedades </t>
  </si>
  <si>
    <t>Pagos impuesto sobre la renta</t>
  </si>
  <si>
    <t>RIESGO ECONÓMICO</t>
  </si>
  <si>
    <t>Valor base</t>
  </si>
  <si>
    <t>(1) Costes fijos operativos</t>
  </si>
  <si>
    <t>(2) Margen de contribución</t>
  </si>
  <si>
    <t xml:space="preserve">(3) = (1) / (2) Umbral de rentabilidad </t>
  </si>
  <si>
    <t>Coeficiente de seguridad (Ventas - Ventas PM)/ Ventas</t>
  </si>
  <si>
    <t>RENTABILIDAD</t>
  </si>
  <si>
    <t>ROI (BAII/AT)</t>
  </si>
  <si>
    <t>MARGEN  (BAII/VENTAS)</t>
  </si>
  <si>
    <t>ROTACIÓN (Ventas/AT)</t>
  </si>
  <si>
    <t xml:space="preserve">    Comprobación</t>
  </si>
  <si>
    <t>ROE (BN/PN)</t>
  </si>
  <si>
    <t>Tipo de interés (Gastos financieros/PASIVO)</t>
  </si>
  <si>
    <t>Margen de apalancamiento (ROI - i )</t>
  </si>
  <si>
    <t>Endeudamiento (PASIVO / PN)</t>
  </si>
  <si>
    <t>Factor impositivo</t>
  </si>
  <si>
    <t xml:space="preserve">Costes fijos / 40,10= </t>
  </si>
  <si>
    <t>Aumentar un 5% la financiación de proveedores.</t>
  </si>
  <si>
    <t>Reducir un 5% las necesidades de stock. Mejora un 3,5%.</t>
  </si>
  <si>
    <r>
      <rPr>
        <b/>
        <sz val="10"/>
        <rFont val="Arial"/>
        <family val="2"/>
      </rPr>
      <t>Cálculo del nivel de ventas (actividad) que hay que alcanzar para que el BAII sea igual a cero, según los datos del supuesto.
Costes fijos (370.000€) / Margen de contribución (0,401)= 922.693</t>
    </r>
    <r>
      <rPr>
        <sz val="10"/>
        <rFont val="Arial"/>
        <family val="2"/>
      </rPr>
      <t xml:space="preserve">
</t>
    </r>
  </si>
  <si>
    <r>
      <t xml:space="preserve">Siguiendo el caso anterior, supongamos que nos estamos planteando la posibilidad de ampliar el horario de apertura dos horas más todos los días lo que supone un total de 600 horas más al año. Los costes incrementales de personal y suministros asociados a ese incremento del horario suponen 50.000 € adicionales. Tienes que calcular cuál es el nivel de ventas (actividad) incremental que tenemos que alcanzar para que al menos se cubra el incremento de costes.
</t>
    </r>
    <r>
      <rPr>
        <b/>
        <sz val="10"/>
        <rFont val="Arial"/>
        <family val="2"/>
      </rPr>
      <t>Gastos fijos (420.000€) / 0,401= 1.047.381€</t>
    </r>
    <r>
      <rPr>
        <sz val="10"/>
        <rFont val="Arial"/>
        <family val="2"/>
      </rPr>
      <t xml:space="preserve">
</t>
    </r>
  </si>
  <si>
    <r>
      <t xml:space="preserve">
EXPLICACIÓN
*Marcados en amarillo los cambios realizados respecto al ejercicio 1. 
</t>
    </r>
    <r>
      <rPr>
        <sz val="10"/>
        <rFont val="Arial"/>
        <family val="2"/>
      </rPr>
      <t xml:space="preserve">En el Balance de Situación se altera la cantidad de 1.400.000 €, que pasa a ser de 1.300.000 €. Los 100.000 € restantes se incluyen en el apartado de Clientes dentro del ACTIVO.
En la Cuenta de Pérdidas y Ganancias no se cambia porque se espera ingresar 1.400.000€ finalmente, aunque en tesorería solo haya de momento 1.300.000€.
Se altera el estado de tesorería en cobro a clientes. Baja a 1.300.000€.
Operación 2.b): Del importe total de compras de productos quedó pendiente de pago 32.075 € equivalente.
En el Balance de Situación se ajusta la tesorería se ajusta la cantidad de 838.600 € a 865.740€ (897.815€ - 32.075€). En el estado de tesorería también se cambia. 
En existencias (ACTIVO) se añaden 59.215€. En proveedores (PASIVO) se añaden 32.075€. </t>
    </r>
    <r>
      <rPr>
        <b/>
        <sz val="10"/>
        <rFont val="Arial"/>
        <family val="2"/>
      </rPr>
      <t xml:space="preserve">
</t>
    </r>
  </si>
  <si>
    <r>
      <rPr>
        <b/>
        <sz val="10"/>
        <rFont val="Arial"/>
        <family val="2"/>
      </rPr>
      <t xml:space="preserve">
EXPLICACIÓN
*En la parte inferior de la pestaña se calcula el impacto monetario sobre la liquidez de las posibles actuaciones a desarrollar.
Resultados:</t>
    </r>
    <r>
      <rPr>
        <sz val="10"/>
        <rFont val="Arial"/>
        <family val="2"/>
      </rPr>
      <t xml:space="preserve">
Reducir un 5% las necesidades de stock – Mejora un 16,84%
Reducir un 5% el gasto por arrendamiento y otros – Mejora un 21,7%
Reducir un 5% el crédito a clientes – Mejora un 6,04%
Aumentar un 5% la financiación de los proveedores – Mejora un 52,36%
</t>
    </r>
  </si>
  <si>
    <r>
      <t xml:space="preserve">A continuación, abre de nuevo el fichero excel y modifica los datos de partida en el cuadro de análisis de sensibilidad y el del mix de ventas.
Volumen de ventas. Mix de producto (tienes que comprobar que el volumen total de ventas no supere el 100 %).
Analiza los resultados y piensa que los aumentos porcentuales de margen que consigas afectan directamente al beneficio.
</t>
    </r>
    <r>
      <rPr>
        <b/>
        <sz val="10"/>
        <rFont val="Arial"/>
        <family val="2"/>
      </rPr>
      <t xml:space="preserve">EXPLICACIÓN
</t>
    </r>
    <r>
      <rPr>
        <sz val="10"/>
        <rFont val="Arial"/>
        <family val="2"/>
      </rPr>
      <t xml:space="preserve">Se parte de la </t>
    </r>
    <r>
      <rPr>
        <b/>
        <sz val="10"/>
        <rFont val="Arial"/>
        <family val="2"/>
      </rPr>
      <t>hipótesis</t>
    </r>
    <r>
      <rPr>
        <sz val="10"/>
        <rFont val="Arial"/>
        <family val="2"/>
      </rPr>
      <t xml:space="preserve"> de que las ventas y los gastos fijos no varían, así como de que el mix de ventas ha de ser igual o superior al establecido el año anterior con excepción de la variante "otros".
</t>
    </r>
    <r>
      <rPr>
        <b/>
        <sz val="10"/>
        <rFont val="Arial"/>
        <family val="2"/>
      </rPr>
      <t>Escenario 1</t>
    </r>
    <r>
      <rPr>
        <sz val="10"/>
        <rFont val="Arial"/>
        <family val="2"/>
      </rPr>
      <t xml:space="preserve"> </t>
    </r>
    <r>
      <rPr>
        <b/>
        <sz val="10"/>
        <rFont val="Arial"/>
        <family val="2"/>
      </rPr>
      <t xml:space="preserve">- Si se incrementa un 10% cada línea de negocio (NO SIMULTÁNEO)...
</t>
    </r>
    <r>
      <rPr>
        <sz val="10"/>
        <rFont val="Arial"/>
        <family val="2"/>
      </rPr>
      <t xml:space="preserve">- Bolsos: el beneficio neto se queda en 144.210€
- Zapatos:  el beneficio neto se queda en 144.053€
- Joyas: el beneficio neto se queda en 141.743€
</t>
    </r>
    <r>
      <rPr>
        <b/>
        <sz val="10"/>
        <rFont val="Arial"/>
        <family val="2"/>
      </rPr>
      <t xml:space="preserve">Escenario 2 - Subidas porcentuales al máximo posible sin dejar en negativo la partida "otros" (NO SIMULTÁNEO)
- </t>
    </r>
    <r>
      <rPr>
        <sz val="10"/>
        <rFont val="Arial"/>
        <family val="2"/>
      </rPr>
      <t xml:space="preserve">Se suma a los bolsos un 40% (para que otros no resulte negativo):  el beneficio neto se queda en 157.440€
- Se suma a los bolsos un 32% (para que otros no resulte negativo):  el beneficio neto se queda en 153.408€
- Se suma a los bolsos un 300% (otros es 0):  el beneficio neto se queda en 198.075€
</t>
    </r>
    <r>
      <rPr>
        <b/>
        <sz val="10"/>
        <rFont val="Arial"/>
        <family val="2"/>
      </rPr>
      <t>CONCLUSIONES</t>
    </r>
    <r>
      <rPr>
        <sz val="10"/>
        <rFont val="Arial"/>
        <family val="2"/>
      </rPr>
      <t xml:space="preserve">
Tras haber analizado las variantes de ambos escenarios y teniendo en cuenta que el impacto sobre la rentabilidad puede venir por el mix de ventas o por el volumen, entendido como el peso de las ventas de ese producto en las ventas totales, se deduce que:
</t>
    </r>
    <r>
      <rPr>
        <b/>
        <sz val="10"/>
        <rFont val="Arial"/>
        <family val="2"/>
      </rPr>
      <t xml:space="preserve">
1. En el primer escenario sería más interesante apostar por los bolsos o los zapatos, pues debido a que su volumen es más relevante, una menor subida porcentual impacta más. En este caso, como la variación es pequeña, el margen de las joyas no contribuye tanto, a pesar de tener el margen más alto de todos los productos.
2. Sin embargo, en el segundo escenario sería más interesante invertir en joyas como línea de negocio potencial y reducir a cero los "otros" (que no aportan inicialmente ni volumen ni margen), pues el margen se incrementa en un 14%, mientras el de los bolsos tan solo se incrementa un 4% y el de los zapatos un 3%. Al no variar las ventas, los productos de volumen impactan menos.</t>
    </r>
  </si>
  <si>
    <r>
      <t xml:space="preserve">Une en la siguiente página las actuaciones propuestas y su impacto sobre el comportamiento de la liquidez, para identificar las variables “estratégicas”, es decir, las que más impactan.
Determina, a partir de la situación actual CASO PRÁCTICO, con un ROI de 45,37 % qué tipo de
actuación mejora en mayor medida el ROI.
</t>
    </r>
    <r>
      <rPr>
        <b/>
        <sz val="10"/>
        <rFont val="Arial"/>
        <family val="2"/>
      </rPr>
      <t>Reducir un 5% el gasto por arrendamientos y otros - 48,02% (mejora un 5,84%)
(Ver debajo marcado en amarillo)</t>
    </r>
    <r>
      <rPr>
        <sz val="10"/>
        <rFont val="Arial"/>
        <family val="2"/>
      </rPr>
      <t xml:space="preserve">
</t>
    </r>
  </si>
  <si>
    <r>
      <t xml:space="preserve">Une en la siguiente página las actuaciones propuestas y su impacto sobre el comportamiento de la liquidez, para identificar las variables “estratégicas”, es decir, las que más impactan.
Determina, a partir de la situación actual CASO PRÁCTICO, con un ROI de 45,37 % qué tipo de
actuación mejora en mayor medida el ROI.
</t>
    </r>
    <r>
      <rPr>
        <b/>
        <sz val="10"/>
        <rFont val="Arial"/>
        <family val="2"/>
      </rPr>
      <t>Aumentar un 5% la cifra de ventas - 55,10% (mejora un 21,44%)
(Ver debajo marcado en amarillo)</t>
    </r>
  </si>
  <si>
    <r>
      <t xml:space="preserve">Une en la siguiente página las actuaciones propuestas y su impacto sobre el comportamiento de la liquidez, para identificar las variables “estratégicas”, es decir, las que más impactan.
Determina, a partir de la situación actual CASO PRÁCTICO, con un ROI de 45,37 % qué tipo de
actuación mejora en mayor medida el ROI.
</t>
    </r>
    <r>
      <rPr>
        <b/>
        <sz val="10"/>
        <rFont val="Arial"/>
        <family val="2"/>
      </rPr>
      <t>Aumentar a un 25% el margen de la línea otros - 59,67% (mejora un 31,5%)
(Ver debajo en amarillo)</t>
    </r>
  </si>
  <si>
    <r>
      <t xml:space="preserve">Determina, a partir de la situación actual CASO PRÁCTICO, con un ROE de 48,24 % qué tipo de actuación mejora en mayor medida el ROE. 
</t>
    </r>
    <r>
      <rPr>
        <b/>
        <sz val="10"/>
        <rFont val="Arial"/>
        <family val="2"/>
      </rPr>
      <t>Reducir un 10% el gasto por arrendamientos y otros - 52,54% (mejora un 8,9%)</t>
    </r>
    <r>
      <rPr>
        <sz val="10"/>
        <rFont val="Arial"/>
        <family val="2"/>
      </rPr>
      <t xml:space="preserve">
</t>
    </r>
    <r>
      <rPr>
        <b/>
        <sz val="10"/>
        <rFont val="Arial"/>
        <family val="2"/>
      </rPr>
      <t>(Ver debajo en amarillo)</t>
    </r>
  </si>
  <si>
    <r>
      <t xml:space="preserve">Determina, a partir de la situación actual CASO PRÁCTICO, con un ROE de 48,24 % qué tipo de actuación mejora en mayor medida el ROE. 
</t>
    </r>
    <r>
      <rPr>
        <b/>
        <sz val="10"/>
        <rFont val="Arial"/>
        <family val="2"/>
      </rPr>
      <t>Aumentar un 10% la cifra de ventas - 60,02% (mejora un 24,42%)
*Solo da este resultado si se mantiene un margen de un 55% en la línea de "otros". Si solo se cambia la cifra de ventas, el resultado es 54,81%
(Ver debajo en amarillo)</t>
    </r>
    <r>
      <rPr>
        <sz val="10"/>
        <rFont val="Arial"/>
        <family val="2"/>
      </rPr>
      <t xml:space="preserve">
</t>
    </r>
  </si>
  <si>
    <r>
      <t xml:space="preserve">Determina, a partir de la situación actual CASO PRÁCTICO, con un ROE de 48,24 % qué tipo de actuación mejora en mayor medida el ROE. 
</t>
    </r>
    <r>
      <rPr>
        <b/>
        <sz val="10"/>
        <rFont val="Arial"/>
        <family val="2"/>
      </rPr>
      <t>Aumentar a un 25% el margen de la línea otros - 54,43% 
[No coincide con la solución de 58,12% del documento. Sin embargo, el ROI coincide con el del ejercicio 7C, donde se solicitaba alterar la misma variable y con el mismo porcentaje]
(Ver debajo en amarillo)</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</si>
</sst>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 ;\-#,##0\ "/>
    <numFmt numFmtId="165" formatCode="0.000"/>
  </numFmts>
  <fonts count="27" x14ac:knownFonts="1">
    <font>
      <sz val="10"/>
      <name val="Arial"/>
    </font>
    <font>
      <sz val="10"/>
      <name val="Arial"/>
    </font>
    <font>
      <sz val="14"/>
      <color theme="0"/>
      <name val="Arial"/>
      <family val="2"/>
    </font>
    <font>
      <sz val="9"/>
      <name val="Arial"/>
      <family val="2"/>
    </font>
    <font>
      <b/>
      <sz val="9"/>
      <name val="Arial"/>
      <family val="2"/>
    </font>
    <font>
      <b/>
      <sz val="12"/>
      <name val="Arial"/>
      <family val="2"/>
    </font>
    <font>
      <b/>
      <sz val="10"/>
      <name val="Arial"/>
      <family val="2"/>
    </font>
    <font>
      <sz val="10"/>
      <name val="Arial"/>
      <family val="2"/>
    </font>
    <font>
      <b/>
      <sz val="12"/>
      <color theme="0"/>
      <name val="Arial"/>
      <family val="2"/>
    </font>
    <font>
      <b/>
      <sz val="10"/>
      <color theme="0"/>
      <name val="Arial"/>
      <family val="2"/>
    </font>
    <font>
      <sz val="10"/>
      <color theme="1"/>
      <name val="Arial"/>
      <family val="2"/>
    </font>
    <font>
      <b/>
      <sz val="8"/>
      <name val="Arial"/>
      <family val="2"/>
    </font>
    <font>
      <sz val="10"/>
      <color theme="0"/>
      <name val="Arial"/>
      <family val="2"/>
    </font>
    <font>
      <b/>
      <sz val="8"/>
      <color theme="0"/>
      <name val="Arial"/>
      <family val="2"/>
    </font>
    <font>
      <b/>
      <i/>
      <sz val="10"/>
      <name val="Arial"/>
      <family val="2"/>
    </font>
    <font>
      <b/>
      <sz val="10"/>
      <color theme="1"/>
      <name val="Arial"/>
      <family val="2"/>
    </font>
    <font>
      <b/>
      <i/>
      <sz val="10"/>
      <color theme="1"/>
      <name val="Arial"/>
      <family val="2"/>
    </font>
    <font>
      <b/>
      <sz val="10"/>
      <color rgb="FF660066"/>
      <name val="Arial"/>
      <family val="2"/>
    </font>
    <font>
      <sz val="12"/>
      <name val="Arial"/>
      <family val="2"/>
    </font>
    <font>
      <sz val="11"/>
      <name val="Arial"/>
      <family val="2"/>
    </font>
    <font>
      <sz val="14"/>
      <name val="Arial"/>
      <family val="2"/>
    </font>
    <font>
      <b/>
      <sz val="11"/>
      <color theme="0"/>
      <name val="Arial"/>
      <family val="2"/>
    </font>
    <font>
      <b/>
      <sz val="11"/>
      <color theme="1"/>
      <name val="Arial"/>
      <family val="2"/>
    </font>
    <font>
      <b/>
      <sz val="8"/>
      <color indexed="81"/>
      <name val="Tahoma"/>
      <family val="2"/>
    </font>
    <font>
      <sz val="8"/>
      <color indexed="81"/>
      <name val="Tahoma"/>
      <family val="2"/>
    </font>
    <font>
      <sz val="10"/>
      <color rgb="FFC00000"/>
      <name val="Arial"/>
      <family val="2"/>
    </font>
    <font>
      <b/>
      <sz val="11"/>
      <color rgb="FFC00000"/>
      <name val="Calibri"/>
      <family val="2"/>
    </font>
  </fonts>
  <fills count="24">
    <fill>
      <patternFill patternType="none"/>
    </fill>
    <fill>
      <patternFill patternType="gray125"/>
    </fill>
    <fill>
      <patternFill patternType="solid">
        <fgColor theme="2" tint="-0.749992370372631"/>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FFCC"/>
        <bgColor indexed="64"/>
      </patternFill>
    </fill>
    <fill>
      <patternFill patternType="solid">
        <fgColor theme="7" tint="-0.249977111117893"/>
        <bgColor indexed="64"/>
      </patternFill>
    </fill>
    <fill>
      <patternFill patternType="solid">
        <fgColor theme="3" tint="-0.249977111117893"/>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2"/>
        <bgColor indexed="64"/>
      </patternFill>
    </fill>
    <fill>
      <patternFill patternType="solid">
        <fgColor theme="4" tint="0.3999755851924192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5" tint="0.59999389629810485"/>
        <bgColor indexed="64"/>
      </patternFill>
    </fill>
  </fills>
  <borders count="42">
    <border>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double">
        <color indexed="64"/>
      </left>
      <right style="double">
        <color indexed="64"/>
      </right>
      <top style="double">
        <color indexed="64"/>
      </top>
      <bottom/>
      <diagonal/>
    </border>
    <border>
      <left style="double">
        <color indexed="64"/>
      </left>
      <right/>
      <top/>
      <bottom style="double">
        <color indexed="64"/>
      </bottom>
      <diagonal/>
    </border>
    <border>
      <left style="thin">
        <color indexed="64"/>
      </left>
      <right style="thin">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top/>
      <bottom/>
      <diagonal/>
    </border>
    <border>
      <left/>
      <right style="thin">
        <color indexed="64"/>
      </right>
      <top/>
      <bottom/>
      <diagonal/>
    </border>
    <border>
      <left style="thin">
        <color indexed="64"/>
      </left>
      <right style="thin">
        <color indexed="64"/>
      </right>
      <top/>
      <bottom/>
      <diagonal/>
    </border>
    <border>
      <left style="double">
        <color indexed="64"/>
      </left>
      <right style="double">
        <color indexed="64"/>
      </right>
      <top/>
      <bottom/>
      <diagonal/>
    </border>
    <border>
      <left style="double">
        <color indexed="64"/>
      </left>
      <right style="double">
        <color indexed="64"/>
      </right>
      <top style="double">
        <color indexed="64"/>
      </top>
      <bottom style="double">
        <color indexed="64"/>
      </bottom>
      <diagonal/>
    </border>
    <border>
      <left/>
      <right/>
      <top style="double">
        <color indexed="64"/>
      </top>
      <bottom/>
      <diagonal/>
    </border>
    <border>
      <left/>
      <right/>
      <top/>
      <bottom style="double">
        <color indexed="64"/>
      </bottom>
      <diagonal/>
    </border>
    <border>
      <left/>
      <right style="thin">
        <color indexed="64"/>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double">
        <color indexed="64"/>
      </left>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thin">
        <color indexed="64"/>
      </left>
      <right/>
      <top/>
      <bottom/>
      <diagonal/>
    </border>
    <border>
      <left style="double">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double">
        <color indexed="64"/>
      </bottom>
      <diagonal/>
    </border>
    <border>
      <left style="thin">
        <color indexed="64"/>
      </left>
      <right/>
      <top style="double">
        <color indexed="64"/>
      </top>
      <bottom/>
      <diagonal/>
    </border>
    <border>
      <left style="thin">
        <color indexed="64"/>
      </left>
      <right/>
      <top/>
      <bottom style="double">
        <color indexed="64"/>
      </bottom>
      <diagonal/>
    </border>
    <border>
      <left/>
      <right/>
      <top style="thick">
        <color theme="0"/>
      </top>
      <bottom style="thick">
        <color theme="0"/>
      </bottom>
      <diagonal/>
    </border>
    <border>
      <left style="thick">
        <color theme="0"/>
      </left>
      <right/>
      <top style="thick">
        <color theme="0"/>
      </top>
      <bottom style="thick">
        <color theme="0"/>
      </bottom>
      <diagonal/>
    </border>
    <border>
      <left style="thick">
        <color theme="0"/>
      </left>
      <right style="thick">
        <color theme="0"/>
      </right>
      <top style="thick">
        <color theme="0"/>
      </top>
      <bottom style="thick">
        <color theme="0"/>
      </bottom>
      <diagonal/>
    </border>
    <border>
      <left/>
      <right/>
      <top style="thick">
        <color theme="0"/>
      </top>
      <bottom/>
      <diagonal/>
    </border>
    <border>
      <left style="thick">
        <color theme="0"/>
      </left>
      <right style="thick">
        <color theme="0"/>
      </right>
      <top style="thick">
        <color theme="0"/>
      </top>
      <bottom/>
      <diagonal/>
    </border>
    <border>
      <left/>
      <right/>
      <top/>
      <bottom style="thick">
        <color theme="0"/>
      </bottom>
      <diagonal/>
    </border>
    <border>
      <left style="thick">
        <color theme="0"/>
      </left>
      <right style="thick">
        <color theme="0"/>
      </right>
      <top/>
      <bottom/>
      <diagonal/>
    </border>
    <border>
      <left style="thick">
        <color theme="0"/>
      </left>
      <right style="thick">
        <color theme="0"/>
      </right>
      <top/>
      <bottom style="thick">
        <color theme="0"/>
      </bottom>
      <diagonal/>
    </border>
  </borders>
  <cellStyleXfs count="2">
    <xf numFmtId="0" fontId="0" fillId="0" borderId="0"/>
    <xf numFmtId="9" fontId="1" fillId="0" borderId="0" applyFont="0" applyFill="0" applyBorder="0" applyAlignment="0" applyProtection="0"/>
  </cellStyleXfs>
  <cellXfs count="398">
    <xf numFmtId="0" fontId="0" fillId="0" borderId="0" xfId="0"/>
    <xf numFmtId="0" fontId="0" fillId="0" borderId="0" xfId="0" applyFill="1"/>
    <xf numFmtId="0" fontId="0" fillId="0" borderId="10" xfId="0" applyBorder="1"/>
    <xf numFmtId="3" fontId="0" fillId="0" borderId="6" xfId="0" applyNumberFormat="1" applyFill="1" applyBorder="1"/>
    <xf numFmtId="3" fontId="0" fillId="0" borderId="11" xfId="0" applyNumberFormat="1" applyFill="1" applyBorder="1"/>
    <xf numFmtId="3" fontId="0" fillId="0" borderId="5" xfId="0" applyNumberFormat="1" applyFill="1" applyBorder="1"/>
    <xf numFmtId="3" fontId="0" fillId="0" borderId="12" xfId="0" applyNumberFormat="1" applyFill="1" applyBorder="1"/>
    <xf numFmtId="3" fontId="0" fillId="0" borderId="13" xfId="0" applyNumberFormat="1" applyFill="1" applyBorder="1"/>
    <xf numFmtId="0" fontId="5" fillId="4" borderId="1" xfId="0" applyFont="1" applyFill="1" applyBorder="1" applyAlignment="1">
      <alignment vertical="center"/>
    </xf>
    <xf numFmtId="3" fontId="6" fillId="4" borderId="14" xfId="0" applyNumberFormat="1" applyFont="1" applyFill="1" applyBorder="1" applyAlignment="1">
      <alignment vertical="center"/>
    </xf>
    <xf numFmtId="3" fontId="6" fillId="4" borderId="1" xfId="0" applyNumberFormat="1" applyFont="1" applyFill="1" applyBorder="1" applyAlignment="1">
      <alignment vertical="center"/>
    </xf>
    <xf numFmtId="0" fontId="5" fillId="5" borderId="2" xfId="0" applyFont="1" applyFill="1" applyBorder="1" applyAlignment="1">
      <alignment vertical="center"/>
    </xf>
    <xf numFmtId="3" fontId="6" fillId="5" borderId="2" xfId="0" applyNumberFormat="1" applyFont="1" applyFill="1" applyBorder="1" applyAlignment="1">
      <alignment vertical="center"/>
    </xf>
    <xf numFmtId="3" fontId="6" fillId="5" borderId="14" xfId="0" applyNumberFormat="1" applyFont="1" applyFill="1" applyBorder="1"/>
    <xf numFmtId="0" fontId="7" fillId="0" borderId="4" xfId="0" applyFont="1" applyBorder="1"/>
    <xf numFmtId="3" fontId="0" fillId="0" borderId="17" xfId="0" applyNumberFormat="1" applyFill="1" applyBorder="1"/>
    <xf numFmtId="3" fontId="0" fillId="0" borderId="8" xfId="0" applyNumberFormat="1" applyFill="1" applyBorder="1"/>
    <xf numFmtId="0" fontId="6" fillId="7" borderId="1" xfId="0" applyFont="1" applyFill="1" applyBorder="1"/>
    <xf numFmtId="3" fontId="6" fillId="7" borderId="14" xfId="0" applyNumberFormat="1" applyFont="1" applyFill="1" applyBorder="1"/>
    <xf numFmtId="0" fontId="6" fillId="0" borderId="2" xfId="0" applyFont="1" applyBorder="1"/>
    <xf numFmtId="3" fontId="6" fillId="0" borderId="2" xfId="0" applyNumberFormat="1" applyFont="1" applyFill="1" applyBorder="1"/>
    <xf numFmtId="3" fontId="6" fillId="0" borderId="14" xfId="0" applyNumberFormat="1" applyFont="1" applyFill="1" applyBorder="1"/>
    <xf numFmtId="0" fontId="7" fillId="0" borderId="10" xfId="0" applyFont="1" applyBorder="1"/>
    <xf numFmtId="0" fontId="8" fillId="9" borderId="1" xfId="0" applyFont="1" applyFill="1" applyBorder="1" applyAlignment="1">
      <alignment vertical="center"/>
    </xf>
    <xf numFmtId="3" fontId="9" fillId="9" borderId="14" xfId="0" applyNumberFormat="1" applyFont="1" applyFill="1" applyBorder="1" applyAlignment="1">
      <alignment vertical="center"/>
    </xf>
    <xf numFmtId="0" fontId="5" fillId="0" borderId="10" xfId="0" applyFont="1" applyFill="1" applyBorder="1" applyAlignment="1">
      <alignment vertical="center"/>
    </xf>
    <xf numFmtId="0" fontId="0" fillId="10" borderId="0" xfId="0" applyFill="1"/>
    <xf numFmtId="3" fontId="6" fillId="0" borderId="0" xfId="0" applyNumberFormat="1" applyFont="1" applyFill="1" applyBorder="1" applyAlignment="1">
      <alignment vertical="center"/>
    </xf>
    <xf numFmtId="0" fontId="0" fillId="11" borderId="10" xfId="0" applyFont="1" applyFill="1" applyBorder="1"/>
    <xf numFmtId="3" fontId="10" fillId="11" borderId="0" xfId="0" applyNumberFormat="1" applyFont="1" applyFill="1"/>
    <xf numFmtId="3" fontId="0" fillId="0" borderId="0" xfId="0" applyNumberFormat="1" applyFill="1"/>
    <xf numFmtId="3" fontId="0" fillId="0" borderId="0" xfId="0" applyNumberFormat="1"/>
    <xf numFmtId="3" fontId="0" fillId="0" borderId="0" xfId="0" applyNumberFormat="1" applyAlignment="1"/>
    <xf numFmtId="3" fontId="7" fillId="0" borderId="0" xfId="0" applyNumberFormat="1" applyFont="1" applyBorder="1" applyAlignment="1">
      <alignment horizontal="center" vertical="center" wrapText="1"/>
    </xf>
    <xf numFmtId="3" fontId="11" fillId="0" borderId="0" xfId="0" applyNumberFormat="1" applyFont="1" applyFill="1" applyBorder="1" applyAlignment="1">
      <alignment vertical="center" wrapText="1"/>
    </xf>
    <xf numFmtId="3" fontId="11" fillId="0" borderId="19" xfId="0" applyNumberFormat="1" applyFont="1" applyFill="1" applyBorder="1" applyAlignment="1">
      <alignment horizontal="center" vertical="center" wrapText="1"/>
    </xf>
    <xf numFmtId="0" fontId="6" fillId="8" borderId="12" xfId="0" applyFont="1" applyFill="1" applyBorder="1" applyAlignment="1">
      <alignment horizontal="left"/>
    </xf>
    <xf numFmtId="3" fontId="6" fillId="12" borderId="12" xfId="1" applyNumberFormat="1" applyFont="1" applyFill="1" applyBorder="1"/>
    <xf numFmtId="3" fontId="6" fillId="8" borderId="12" xfId="1" applyNumberFormat="1" applyFont="1" applyFill="1" applyBorder="1"/>
    <xf numFmtId="3" fontId="6" fillId="8" borderId="18" xfId="1" applyNumberFormat="1" applyFont="1" applyFill="1" applyBorder="1"/>
    <xf numFmtId="0" fontId="7" fillId="8" borderId="12" xfId="0" applyFont="1" applyFill="1" applyBorder="1"/>
    <xf numFmtId="9" fontId="0" fillId="8" borderId="12" xfId="0" applyNumberFormat="1" applyFill="1" applyBorder="1"/>
    <xf numFmtId="9" fontId="1" fillId="12" borderId="12" xfId="1" applyFont="1" applyFill="1" applyBorder="1"/>
    <xf numFmtId="9" fontId="7" fillId="8" borderId="12" xfId="1" applyFont="1" applyFill="1" applyBorder="1"/>
    <xf numFmtId="10" fontId="7" fillId="8" borderId="12" xfId="1" applyNumberFormat="1" applyFont="1" applyFill="1" applyBorder="1" applyAlignment="1"/>
    <xf numFmtId="3" fontId="7" fillId="8" borderId="12" xfId="0" applyNumberFormat="1" applyFont="1" applyFill="1" applyBorder="1" applyAlignment="1"/>
    <xf numFmtId="3" fontId="7" fillId="8" borderId="12" xfId="1" applyNumberFormat="1" applyFont="1" applyFill="1" applyBorder="1" applyAlignment="1"/>
    <xf numFmtId="10" fontId="9" fillId="13" borderId="12" xfId="1" applyNumberFormat="1" applyFont="1" applyFill="1" applyBorder="1" applyAlignment="1">
      <alignment horizontal="left"/>
    </xf>
    <xf numFmtId="3" fontId="12" fillId="13" borderId="12" xfId="0" applyNumberFormat="1" applyFont="1" applyFill="1" applyBorder="1"/>
    <xf numFmtId="3" fontId="9" fillId="13" borderId="12" xfId="1" applyNumberFormat="1" applyFont="1" applyFill="1" applyBorder="1"/>
    <xf numFmtId="10" fontId="9" fillId="13" borderId="20" xfId="1" applyNumberFormat="1" applyFont="1" applyFill="1" applyBorder="1" applyAlignment="1">
      <alignment horizontal="left"/>
    </xf>
    <xf numFmtId="10" fontId="12" fillId="13" borderId="20" xfId="1" applyNumberFormat="1" applyFont="1" applyFill="1" applyBorder="1"/>
    <xf numFmtId="10" fontId="9" fillId="13" borderId="20" xfId="1" applyNumberFormat="1" applyFont="1" applyFill="1" applyBorder="1"/>
    <xf numFmtId="9" fontId="6" fillId="12" borderId="20" xfId="1" applyFont="1" applyFill="1" applyBorder="1"/>
    <xf numFmtId="3" fontId="11" fillId="0" borderId="0" xfId="0" applyNumberFormat="1" applyFont="1" applyFill="1" applyBorder="1" applyAlignment="1">
      <alignment horizontal="center" vertical="center" wrapText="1"/>
    </xf>
    <xf numFmtId="0" fontId="0" fillId="0" borderId="0" xfId="0" applyBorder="1"/>
    <xf numFmtId="0" fontId="6" fillId="0" borderId="4" xfId="0" applyFont="1" applyBorder="1" applyAlignment="1">
      <alignment horizontal="left"/>
    </xf>
    <xf numFmtId="3" fontId="0" fillId="0" borderId="6" xfId="0" applyNumberFormat="1" applyBorder="1"/>
    <xf numFmtId="10" fontId="7" fillId="0" borderId="6" xfId="1" applyNumberFormat="1" applyFont="1" applyBorder="1"/>
    <xf numFmtId="0" fontId="7" fillId="0" borderId="0" xfId="0" applyFont="1"/>
    <xf numFmtId="0" fontId="6" fillId="8" borderId="21" xfId="0" applyFont="1" applyFill="1" applyBorder="1" applyAlignment="1">
      <alignment horizontal="left"/>
    </xf>
    <xf numFmtId="3" fontId="0" fillId="8" borderId="22" xfId="0" applyNumberFormat="1" applyFill="1" applyBorder="1"/>
    <xf numFmtId="10" fontId="6" fillId="8" borderId="22" xfId="1" applyNumberFormat="1" applyFont="1" applyFill="1" applyBorder="1"/>
    <xf numFmtId="0" fontId="14" fillId="0" borderId="23" xfId="0" applyFont="1" applyBorder="1" applyAlignment="1">
      <alignment horizontal="left"/>
    </xf>
    <xf numFmtId="10" fontId="7" fillId="0" borderId="13" xfId="1" applyNumberFormat="1" applyFont="1" applyBorder="1"/>
    <xf numFmtId="0" fontId="15" fillId="15" borderId="10" xfId="0" applyFont="1" applyFill="1" applyBorder="1" applyAlignment="1">
      <alignment horizontal="left"/>
    </xf>
    <xf numFmtId="3" fontId="16" fillId="15" borderId="13" xfId="0" applyNumberFormat="1" applyFont="1" applyFill="1" applyBorder="1"/>
    <xf numFmtId="10" fontId="6" fillId="15" borderId="13" xfId="1" applyNumberFormat="1" applyFont="1" applyFill="1" applyBorder="1"/>
    <xf numFmtId="0" fontId="7" fillId="0" borderId="10" xfId="0" applyFont="1" applyBorder="1" applyAlignment="1">
      <alignment horizontal="left"/>
    </xf>
    <xf numFmtId="164" fontId="0" fillId="0" borderId="13" xfId="0" applyNumberFormat="1" applyBorder="1"/>
    <xf numFmtId="10" fontId="0" fillId="0" borderId="13" xfId="1" applyNumberFormat="1" applyFont="1" applyBorder="1"/>
    <xf numFmtId="0" fontId="6" fillId="15" borderId="10" xfId="0" applyFont="1" applyFill="1" applyBorder="1" applyAlignment="1">
      <alignment horizontal="left"/>
    </xf>
    <xf numFmtId="3" fontId="6" fillId="15" borderId="13" xfId="0" applyNumberFormat="1" applyFont="1" applyFill="1" applyBorder="1"/>
    <xf numFmtId="10" fontId="6" fillId="0" borderId="0" xfId="1" applyNumberFormat="1" applyFont="1" applyFill="1" applyBorder="1"/>
    <xf numFmtId="10" fontId="0" fillId="0" borderId="0" xfId="1" applyNumberFormat="1" applyFont="1" applyFill="1" applyBorder="1"/>
    <xf numFmtId="0" fontId="0" fillId="0" borderId="10" xfId="0" applyBorder="1" applyAlignment="1">
      <alignment horizontal="left"/>
    </xf>
    <xf numFmtId="0" fontId="8" fillId="14" borderId="10" xfId="0" applyFont="1" applyFill="1" applyBorder="1" applyAlignment="1">
      <alignment horizontal="left" vertical="center"/>
    </xf>
    <xf numFmtId="3" fontId="9" fillId="14" borderId="13" xfId="0" applyNumberFormat="1" applyFont="1" applyFill="1" applyBorder="1" applyAlignment="1">
      <alignment vertical="center"/>
    </xf>
    <xf numFmtId="10" fontId="9" fillId="14" borderId="13" xfId="1" applyNumberFormat="1" applyFont="1" applyFill="1" applyBorder="1" applyAlignment="1">
      <alignment vertical="center"/>
    </xf>
    <xf numFmtId="10" fontId="9" fillId="0" borderId="0" xfId="1" applyNumberFormat="1" applyFont="1" applyFill="1" applyBorder="1" applyAlignment="1">
      <alignment vertical="center"/>
    </xf>
    <xf numFmtId="0" fontId="7" fillId="0" borderId="4" xfId="0" applyFont="1" applyBorder="1" applyAlignment="1">
      <alignment horizontal="left"/>
    </xf>
    <xf numFmtId="3" fontId="7" fillId="0" borderId="6" xfId="0" applyNumberFormat="1" applyFont="1" applyFill="1" applyBorder="1"/>
    <xf numFmtId="3" fontId="7" fillId="0" borderId="6" xfId="0" applyNumberFormat="1" applyFont="1" applyBorder="1"/>
    <xf numFmtId="3" fontId="7" fillId="0" borderId="0" xfId="0" applyNumberFormat="1" applyFont="1" applyFill="1" applyBorder="1"/>
    <xf numFmtId="3" fontId="0" fillId="0" borderId="13" xfId="0" applyNumberFormat="1" applyBorder="1"/>
    <xf numFmtId="3" fontId="0" fillId="0" borderId="0" xfId="0" applyNumberFormat="1" applyFill="1" applyBorder="1"/>
    <xf numFmtId="0" fontId="6" fillId="16" borderId="1" xfId="0" applyFont="1" applyFill="1" applyBorder="1" applyAlignment="1">
      <alignment horizontal="left"/>
    </xf>
    <xf numFmtId="3" fontId="6" fillId="16" borderId="14" xfId="0" applyNumberFormat="1" applyFont="1" applyFill="1" applyBorder="1"/>
    <xf numFmtId="3" fontId="6" fillId="0" borderId="0" xfId="0" applyNumberFormat="1" applyFont="1" applyFill="1" applyBorder="1"/>
    <xf numFmtId="3" fontId="0" fillId="0" borderId="24" xfId="0" applyNumberFormat="1" applyFill="1" applyBorder="1"/>
    <xf numFmtId="0" fontId="15" fillId="16" borderId="1" xfId="0" applyFont="1" applyFill="1" applyBorder="1" applyAlignment="1">
      <alignment horizontal="left"/>
    </xf>
    <xf numFmtId="3" fontId="15" fillId="16" borderId="14" xfId="0" applyNumberFormat="1" applyFont="1" applyFill="1" applyBorder="1"/>
    <xf numFmtId="3" fontId="15" fillId="0" borderId="0" xfId="0" applyNumberFormat="1" applyFont="1" applyFill="1" applyBorder="1"/>
    <xf numFmtId="0" fontId="8" fillId="17" borderId="10" xfId="0" applyFont="1" applyFill="1" applyBorder="1" applyAlignment="1">
      <alignment horizontal="left" vertical="center"/>
    </xf>
    <xf numFmtId="3" fontId="9" fillId="17" borderId="9" xfId="0" applyNumberFormat="1" applyFont="1" applyFill="1" applyBorder="1" applyAlignment="1">
      <alignment vertical="center"/>
    </xf>
    <xf numFmtId="3" fontId="9" fillId="0" borderId="0" xfId="0" applyNumberFormat="1" applyFont="1" applyFill="1" applyBorder="1" applyAlignment="1">
      <alignment vertical="center"/>
    </xf>
    <xf numFmtId="0" fontId="6" fillId="0" borderId="1" xfId="0" applyFont="1" applyBorder="1" applyAlignment="1">
      <alignment horizontal="left" vertical="center"/>
    </xf>
    <xf numFmtId="3" fontId="6" fillId="0" borderId="14" xfId="0" applyNumberFormat="1" applyFont="1" applyBorder="1" applyAlignment="1">
      <alignment vertical="center"/>
    </xf>
    <xf numFmtId="0" fontId="9" fillId="18" borderId="1" xfId="0" applyFont="1" applyFill="1" applyBorder="1" applyAlignment="1">
      <alignment horizontal="left" vertical="center"/>
    </xf>
    <xf numFmtId="3" fontId="9" fillId="18" borderId="14" xfId="0" applyNumberFormat="1" applyFont="1" applyFill="1" applyBorder="1" applyAlignment="1">
      <alignment vertical="center"/>
    </xf>
    <xf numFmtId="3" fontId="17" fillId="0" borderId="0" xfId="0" applyNumberFormat="1" applyFont="1" applyFill="1" applyBorder="1" applyAlignment="1">
      <alignment vertical="center"/>
    </xf>
    <xf numFmtId="0" fontId="0" fillId="19" borderId="10" xfId="0" applyFill="1" applyBorder="1"/>
    <xf numFmtId="3" fontId="0" fillId="19" borderId="6" xfId="0" applyNumberFormat="1" applyFill="1" applyBorder="1"/>
    <xf numFmtId="3" fontId="0" fillId="19" borderId="11" xfId="0" applyNumberFormat="1" applyFill="1" applyBorder="1"/>
    <xf numFmtId="3" fontId="0" fillId="19" borderId="5" xfId="0" applyNumberFormat="1" applyFill="1" applyBorder="1"/>
    <xf numFmtId="3" fontId="0" fillId="19" borderId="12" xfId="0" applyNumberFormat="1" applyFill="1" applyBorder="1"/>
    <xf numFmtId="3" fontId="0" fillId="19" borderId="13" xfId="0" applyNumberFormat="1" applyFill="1" applyBorder="1"/>
    <xf numFmtId="0" fontId="0" fillId="19" borderId="0" xfId="0" applyFill="1"/>
    <xf numFmtId="0" fontId="5" fillId="19" borderId="1" xfId="0" applyFont="1" applyFill="1" applyBorder="1" applyAlignment="1">
      <alignment vertical="center"/>
    </xf>
    <xf numFmtId="3" fontId="6" fillId="19" borderId="14" xfId="0" applyNumberFormat="1" applyFont="1" applyFill="1" applyBorder="1" applyAlignment="1">
      <alignment vertical="center"/>
    </xf>
    <xf numFmtId="3" fontId="6" fillId="19" borderId="1" xfId="0" applyNumberFormat="1" applyFont="1" applyFill="1" applyBorder="1" applyAlignment="1">
      <alignment vertical="center"/>
    </xf>
    <xf numFmtId="0" fontId="5" fillId="19" borderId="2" xfId="0" applyFont="1" applyFill="1" applyBorder="1" applyAlignment="1">
      <alignment vertical="center"/>
    </xf>
    <xf numFmtId="3" fontId="6" fillId="19" borderId="2" xfId="0" applyNumberFormat="1" applyFont="1" applyFill="1" applyBorder="1" applyAlignment="1">
      <alignment vertical="center"/>
    </xf>
    <xf numFmtId="3" fontId="6" fillId="19" borderId="14" xfId="0" applyNumberFormat="1" applyFont="1" applyFill="1" applyBorder="1"/>
    <xf numFmtId="0" fontId="7" fillId="19" borderId="4" xfId="0" applyFont="1" applyFill="1" applyBorder="1"/>
    <xf numFmtId="3" fontId="0" fillId="19" borderId="17" xfId="0" applyNumberFormat="1" applyFill="1" applyBorder="1"/>
    <xf numFmtId="3" fontId="0" fillId="19" borderId="8" xfId="0" applyNumberFormat="1" applyFill="1" applyBorder="1"/>
    <xf numFmtId="0" fontId="6" fillId="19" borderId="1" xfId="0" applyFont="1" applyFill="1" applyBorder="1"/>
    <xf numFmtId="0" fontId="6" fillId="19" borderId="2" xfId="0" applyFont="1" applyFill="1" applyBorder="1"/>
    <xf numFmtId="3" fontId="6" fillId="19" borderId="2" xfId="0" applyNumberFormat="1" applyFont="1" applyFill="1" applyBorder="1"/>
    <xf numFmtId="0" fontId="7" fillId="19" borderId="10" xfId="0" applyFont="1" applyFill="1" applyBorder="1"/>
    <xf numFmtId="0" fontId="8" fillId="19" borderId="1" xfId="0" applyFont="1" applyFill="1" applyBorder="1" applyAlignment="1">
      <alignment vertical="center"/>
    </xf>
    <xf numFmtId="3" fontId="9" fillId="19" borderId="14" xfId="0" applyNumberFormat="1" applyFont="1" applyFill="1" applyBorder="1" applyAlignment="1">
      <alignment vertical="center"/>
    </xf>
    <xf numFmtId="0" fontId="5" fillId="19" borderId="10" xfId="0" applyFont="1" applyFill="1" applyBorder="1" applyAlignment="1">
      <alignment vertical="center"/>
    </xf>
    <xf numFmtId="3" fontId="6" fillId="19" borderId="0" xfId="0" applyNumberFormat="1" applyFont="1" applyFill="1" applyBorder="1" applyAlignment="1">
      <alignment vertical="center"/>
    </xf>
    <xf numFmtId="0" fontId="0" fillId="19" borderId="10" xfId="0" applyFont="1" applyFill="1" applyBorder="1"/>
    <xf numFmtId="3" fontId="10" fillId="19" borderId="0" xfId="0" applyNumberFormat="1" applyFont="1" applyFill="1"/>
    <xf numFmtId="3" fontId="0" fillId="19" borderId="0" xfId="0" applyNumberFormat="1" applyFill="1"/>
    <xf numFmtId="3" fontId="0" fillId="19" borderId="0" xfId="0" applyNumberFormat="1" applyFill="1" applyAlignment="1"/>
    <xf numFmtId="3" fontId="7" fillId="19" borderId="0" xfId="0" applyNumberFormat="1" applyFont="1" applyFill="1" applyBorder="1" applyAlignment="1">
      <alignment horizontal="center" vertical="center" wrapText="1"/>
    </xf>
    <xf numFmtId="3" fontId="11" fillId="19" borderId="0" xfId="0" applyNumberFormat="1" applyFont="1" applyFill="1" applyBorder="1" applyAlignment="1">
      <alignment vertical="center" wrapText="1"/>
    </xf>
    <xf numFmtId="3" fontId="11" fillId="19" borderId="19" xfId="0" applyNumberFormat="1" applyFont="1" applyFill="1" applyBorder="1" applyAlignment="1">
      <alignment horizontal="center" vertical="center" wrapText="1"/>
    </xf>
    <xf numFmtId="0" fontId="6" fillId="19" borderId="12" xfId="0" applyFont="1" applyFill="1" applyBorder="1" applyAlignment="1">
      <alignment horizontal="left"/>
    </xf>
    <xf numFmtId="3" fontId="6" fillId="19" borderId="12" xfId="1" applyNumberFormat="1" applyFont="1" applyFill="1" applyBorder="1"/>
    <xf numFmtId="3" fontId="6" fillId="19" borderId="18" xfId="1" applyNumberFormat="1" applyFont="1" applyFill="1" applyBorder="1"/>
    <xf numFmtId="0" fontId="7" fillId="19" borderId="12" xfId="0" applyFont="1" applyFill="1" applyBorder="1"/>
    <xf numFmtId="9" fontId="0" fillId="19" borderId="12" xfId="0" applyNumberFormat="1" applyFill="1" applyBorder="1"/>
    <xf numFmtId="9" fontId="1" fillId="19" borderId="12" xfId="1" applyFont="1" applyFill="1" applyBorder="1"/>
    <xf numFmtId="9" fontId="7" fillId="19" borderId="12" xfId="1" applyFont="1" applyFill="1" applyBorder="1"/>
    <xf numFmtId="10" fontId="7" fillId="19" borderId="12" xfId="1" applyNumberFormat="1" applyFont="1" applyFill="1" applyBorder="1" applyAlignment="1"/>
    <xf numFmtId="3" fontId="7" fillId="19" borderId="12" xfId="0" applyNumberFormat="1" applyFont="1" applyFill="1" applyBorder="1" applyAlignment="1"/>
    <xf numFmtId="3" fontId="7" fillId="19" borderId="12" xfId="1" applyNumberFormat="1" applyFont="1" applyFill="1" applyBorder="1" applyAlignment="1"/>
    <xf numFmtId="10" fontId="9" fillId="19" borderId="12" xfId="1" applyNumberFormat="1" applyFont="1" applyFill="1" applyBorder="1" applyAlignment="1">
      <alignment horizontal="left"/>
    </xf>
    <xf numFmtId="3" fontId="12" fillId="19" borderId="12" xfId="0" applyNumberFormat="1" applyFont="1" applyFill="1" applyBorder="1"/>
    <xf numFmtId="3" fontId="9" fillId="19" borderId="12" xfId="1" applyNumberFormat="1" applyFont="1" applyFill="1" applyBorder="1"/>
    <xf numFmtId="10" fontId="9" fillId="19" borderId="20" xfId="1" applyNumberFormat="1" applyFont="1" applyFill="1" applyBorder="1" applyAlignment="1">
      <alignment horizontal="left"/>
    </xf>
    <xf numFmtId="10" fontId="12" fillId="19" borderId="20" xfId="1" applyNumberFormat="1" applyFont="1" applyFill="1" applyBorder="1"/>
    <xf numFmtId="10" fontId="9" fillId="19" borderId="20" xfId="1" applyNumberFormat="1" applyFont="1" applyFill="1" applyBorder="1"/>
    <xf numFmtId="9" fontId="6" fillId="19" borderId="20" xfId="1" applyFont="1" applyFill="1" applyBorder="1"/>
    <xf numFmtId="3" fontId="11" fillId="19" borderId="0" xfId="0" applyNumberFormat="1" applyFont="1" applyFill="1" applyBorder="1" applyAlignment="1">
      <alignment horizontal="center" vertical="center" wrapText="1"/>
    </xf>
    <xf numFmtId="0" fontId="0" fillId="19" borderId="0" xfId="0" applyFill="1" applyBorder="1"/>
    <xf numFmtId="0" fontId="6" fillId="19" borderId="4" xfId="0" applyFont="1" applyFill="1" applyBorder="1" applyAlignment="1">
      <alignment horizontal="left"/>
    </xf>
    <xf numFmtId="10" fontId="7" fillId="19" borderId="6" xfId="1" applyNumberFormat="1" applyFont="1" applyFill="1" applyBorder="1"/>
    <xf numFmtId="0" fontId="7" fillId="19" borderId="0" xfId="0" applyFont="1" applyFill="1"/>
    <xf numFmtId="0" fontId="6" fillId="19" borderId="21" xfId="0" applyFont="1" applyFill="1" applyBorder="1" applyAlignment="1">
      <alignment horizontal="left"/>
    </xf>
    <xf numFmtId="3" fontId="0" fillId="19" borderId="22" xfId="0" applyNumberFormat="1" applyFill="1" applyBorder="1"/>
    <xf numFmtId="10" fontId="6" fillId="19" borderId="22" xfId="1" applyNumberFormat="1" applyFont="1" applyFill="1" applyBorder="1"/>
    <xf numFmtId="0" fontId="14" fillId="19" borderId="23" xfId="0" applyFont="1" applyFill="1" applyBorder="1" applyAlignment="1">
      <alignment horizontal="left"/>
    </xf>
    <xf numFmtId="10" fontId="7" fillId="19" borderId="13" xfId="1" applyNumberFormat="1" applyFont="1" applyFill="1" applyBorder="1"/>
    <xf numFmtId="0" fontId="15" fillId="19" borderId="10" xfId="0" applyFont="1" applyFill="1" applyBorder="1" applyAlignment="1">
      <alignment horizontal="left"/>
    </xf>
    <xf numFmtId="3" fontId="16" fillId="19" borderId="13" xfId="0" applyNumberFormat="1" applyFont="1" applyFill="1" applyBorder="1"/>
    <xf numFmtId="10" fontId="6" fillId="19" borderId="13" xfId="1" applyNumberFormat="1" applyFont="1" applyFill="1" applyBorder="1"/>
    <xf numFmtId="0" fontId="7" fillId="19" borderId="10" xfId="0" applyFont="1" applyFill="1" applyBorder="1" applyAlignment="1">
      <alignment horizontal="left"/>
    </xf>
    <xf numFmtId="164" fontId="0" fillId="19" borderId="13" xfId="0" applyNumberFormat="1" applyFill="1" applyBorder="1"/>
    <xf numFmtId="10" fontId="0" fillId="19" borderId="13" xfId="1" applyNumberFormat="1" applyFont="1" applyFill="1" applyBorder="1"/>
    <xf numFmtId="0" fontId="6" fillId="19" borderId="10" xfId="0" applyFont="1" applyFill="1" applyBorder="1" applyAlignment="1">
      <alignment horizontal="left"/>
    </xf>
    <xf numFmtId="3" fontId="6" fillId="19" borderId="13" xfId="0" applyNumberFormat="1" applyFont="1" applyFill="1" applyBorder="1"/>
    <xf numFmtId="10" fontId="6" fillId="19" borderId="0" xfId="1" applyNumberFormat="1" applyFont="1" applyFill="1" applyBorder="1"/>
    <xf numFmtId="10" fontId="0" fillId="19" borderId="0" xfId="1" applyNumberFormat="1" applyFont="1" applyFill="1" applyBorder="1"/>
    <xf numFmtId="0" fontId="0" fillId="19" borderId="10" xfId="0" applyFill="1" applyBorder="1" applyAlignment="1">
      <alignment horizontal="left"/>
    </xf>
    <xf numFmtId="0" fontId="8" fillId="19" borderId="10" xfId="0" applyFont="1" applyFill="1" applyBorder="1" applyAlignment="1">
      <alignment horizontal="left" vertical="center"/>
    </xf>
    <xf numFmtId="3" fontId="9" fillId="19" borderId="13" xfId="0" applyNumberFormat="1" applyFont="1" applyFill="1" applyBorder="1" applyAlignment="1">
      <alignment vertical="center"/>
    </xf>
    <xf numFmtId="10" fontId="9" fillId="19" borderId="13" xfId="1" applyNumberFormat="1" applyFont="1" applyFill="1" applyBorder="1" applyAlignment="1">
      <alignment vertical="center"/>
    </xf>
    <xf numFmtId="10" fontId="9" fillId="19" borderId="0" xfId="1" applyNumberFormat="1" applyFont="1" applyFill="1" applyBorder="1" applyAlignment="1">
      <alignment vertical="center"/>
    </xf>
    <xf numFmtId="0" fontId="6" fillId="10" borderId="10" xfId="0" applyFont="1" applyFill="1" applyBorder="1" applyAlignment="1">
      <alignment horizontal="left"/>
    </xf>
    <xf numFmtId="3" fontId="6" fillId="10" borderId="13" xfId="0" applyNumberFormat="1" applyFont="1" applyFill="1" applyBorder="1"/>
    <xf numFmtId="3" fontId="6" fillId="10" borderId="0" xfId="0" applyNumberFormat="1" applyFont="1" applyFill="1" applyBorder="1"/>
    <xf numFmtId="0" fontId="7" fillId="5" borderId="10" xfId="0" applyFont="1" applyFill="1" applyBorder="1" applyAlignment="1">
      <alignment horizontal="left"/>
    </xf>
    <xf numFmtId="3" fontId="7" fillId="5" borderId="13" xfId="0" applyNumberFormat="1" applyFont="1" applyFill="1" applyBorder="1"/>
    <xf numFmtId="3" fontId="7" fillId="5" borderId="0" xfId="0" applyNumberFormat="1" applyFont="1" applyFill="1" applyBorder="1"/>
    <xf numFmtId="0" fontId="7" fillId="10" borderId="4" xfId="0" applyFont="1" applyFill="1" applyBorder="1" applyAlignment="1">
      <alignment horizontal="left"/>
    </xf>
    <xf numFmtId="3" fontId="7" fillId="10" borderId="6" xfId="0" applyNumberFormat="1" applyFont="1" applyFill="1" applyBorder="1"/>
    <xf numFmtId="0" fontId="7" fillId="5" borderId="4" xfId="0" applyFont="1" applyFill="1" applyBorder="1" applyAlignment="1">
      <alignment horizontal="left"/>
    </xf>
    <xf numFmtId="3" fontId="7" fillId="5" borderId="6" xfId="0" applyNumberFormat="1" applyFont="1" applyFill="1" applyBorder="1"/>
    <xf numFmtId="0" fontId="12" fillId="20" borderId="0" xfId="0" applyFont="1" applyFill="1"/>
    <xf numFmtId="0" fontId="9" fillId="20" borderId="0" xfId="0" applyFont="1" applyFill="1"/>
    <xf numFmtId="0" fontId="9" fillId="20" borderId="0" xfId="0" applyFont="1" applyFill="1" applyAlignment="1">
      <alignment horizontal="center"/>
    </xf>
    <xf numFmtId="0" fontId="9" fillId="9" borderId="0" xfId="0" applyFont="1" applyFill="1"/>
    <xf numFmtId="0" fontId="12" fillId="9" borderId="0" xfId="0" applyFont="1" applyFill="1"/>
    <xf numFmtId="0" fontId="12" fillId="9" borderId="0" xfId="0" applyFont="1" applyFill="1" applyAlignment="1">
      <alignment horizontal="center"/>
    </xf>
    <xf numFmtId="10" fontId="0" fillId="0" borderId="0" xfId="1" applyNumberFormat="1" applyFont="1"/>
    <xf numFmtId="0" fontId="15" fillId="8" borderId="0" xfId="0" applyFont="1" applyFill="1"/>
    <xf numFmtId="0" fontId="12" fillId="8" borderId="0" xfId="0" applyFont="1" applyFill="1"/>
    <xf numFmtId="0" fontId="12" fillId="8" borderId="0" xfId="0" applyFont="1" applyFill="1" applyAlignment="1">
      <alignment horizontal="center"/>
    </xf>
    <xf numFmtId="0" fontId="7" fillId="8" borderId="0" xfId="0" applyFont="1" applyFill="1"/>
    <xf numFmtId="3" fontId="0" fillId="8" borderId="0" xfId="0" applyNumberFormat="1" applyFill="1"/>
    <xf numFmtId="2" fontId="7" fillId="10" borderId="0" xfId="1" applyNumberFormat="1" applyFont="1" applyFill="1"/>
    <xf numFmtId="10" fontId="7" fillId="8" borderId="0" xfId="1" applyNumberFormat="1" applyFont="1" applyFill="1"/>
    <xf numFmtId="2" fontId="7" fillId="8" borderId="0" xfId="1" applyNumberFormat="1" applyFont="1" applyFill="1"/>
    <xf numFmtId="3" fontId="7" fillId="8" borderId="0" xfId="0" applyNumberFormat="1" applyFont="1" applyFill="1" applyAlignment="1">
      <alignment horizontal="left"/>
    </xf>
    <xf numFmtId="3" fontId="11" fillId="0" borderId="19" xfId="0" applyNumberFormat="1" applyFont="1" applyBorder="1" applyAlignment="1">
      <alignment horizontal="center" vertical="center" wrapText="1"/>
    </xf>
    <xf numFmtId="10" fontId="7" fillId="8" borderId="12" xfId="1" applyNumberFormat="1" applyFont="1" applyFill="1" applyBorder="1"/>
    <xf numFmtId="3" fontId="7" fillId="8" borderId="12" xfId="0" applyNumberFormat="1" applyFont="1" applyFill="1" applyBorder="1"/>
    <xf numFmtId="0" fontId="6" fillId="8" borderId="0" xfId="0" applyFont="1" applyFill="1"/>
    <xf numFmtId="10" fontId="6" fillId="8" borderId="0" xfId="1" applyNumberFormat="1" applyFont="1" applyFill="1"/>
    <xf numFmtId="2" fontId="6" fillId="8" borderId="0" xfId="1" applyNumberFormat="1" applyFont="1" applyFill="1"/>
    <xf numFmtId="10" fontId="12" fillId="9" borderId="0" xfId="1" applyNumberFormat="1" applyFont="1" applyFill="1"/>
    <xf numFmtId="2" fontId="12" fillId="9" borderId="0" xfId="1" applyNumberFormat="1" applyFont="1" applyFill="1"/>
    <xf numFmtId="10" fontId="9" fillId="0" borderId="0" xfId="1" applyNumberFormat="1" applyFont="1" applyFill="1" applyBorder="1" applyAlignment="1">
      <alignment horizontal="left"/>
    </xf>
    <xf numFmtId="10" fontId="12" fillId="0" borderId="0" xfId="1" applyNumberFormat="1" applyFont="1" applyFill="1" applyBorder="1"/>
    <xf numFmtId="10" fontId="9" fillId="0" borderId="0" xfId="1" applyNumberFormat="1" applyFont="1" applyFill="1" applyBorder="1"/>
    <xf numFmtId="9" fontId="6" fillId="0" borderId="0" xfId="1" applyFont="1" applyFill="1" applyBorder="1"/>
    <xf numFmtId="0" fontId="9" fillId="8" borderId="0" xfId="0" applyFont="1" applyFill="1"/>
    <xf numFmtId="10" fontId="12" fillId="8" borderId="0" xfId="1" applyNumberFormat="1" applyFont="1" applyFill="1"/>
    <xf numFmtId="2" fontId="12" fillId="8" borderId="0" xfId="1" applyNumberFormat="1" applyFont="1" applyFill="1"/>
    <xf numFmtId="0" fontId="0" fillId="8" borderId="0" xfId="0" applyFill="1"/>
    <xf numFmtId="3" fontId="0" fillId="0" borderId="11" xfId="0" applyNumberFormat="1" applyBorder="1"/>
    <xf numFmtId="3" fontId="0" fillId="0" borderId="5" xfId="0" applyNumberFormat="1" applyBorder="1"/>
    <xf numFmtId="3" fontId="0" fillId="0" borderId="12" xfId="0" applyNumberFormat="1" applyBorder="1"/>
    <xf numFmtId="3" fontId="0" fillId="0" borderId="32" xfId="0" applyNumberFormat="1" applyBorder="1"/>
    <xf numFmtId="3" fontId="0" fillId="0" borderId="23" xfId="0" applyNumberFormat="1" applyBorder="1"/>
    <xf numFmtId="3" fontId="6" fillId="4" borderId="2" xfId="0" applyNumberFormat="1" applyFont="1" applyFill="1" applyBorder="1" applyAlignment="1">
      <alignment vertical="center"/>
    </xf>
    <xf numFmtId="3" fontId="6" fillId="5" borderId="14" xfId="0" applyNumberFormat="1" applyFont="1" applyFill="1" applyBorder="1" applyAlignment="1">
      <alignment vertical="center"/>
    </xf>
    <xf numFmtId="3" fontId="0" fillId="0" borderId="17" xfId="0" applyNumberFormat="1" applyBorder="1"/>
    <xf numFmtId="3" fontId="6" fillId="7" borderId="3" xfId="0" applyNumberFormat="1" applyFont="1" applyFill="1" applyBorder="1"/>
    <xf numFmtId="3" fontId="6" fillId="7" borderId="1" xfId="0" applyNumberFormat="1" applyFont="1" applyFill="1" applyBorder="1"/>
    <xf numFmtId="3" fontId="6" fillId="0" borderId="2" xfId="0" applyNumberFormat="1" applyFont="1" applyBorder="1"/>
    <xf numFmtId="3" fontId="0" fillId="0" borderId="8" xfId="0" applyNumberFormat="1" applyBorder="1"/>
    <xf numFmtId="3" fontId="9" fillId="9" borderId="3" xfId="0" applyNumberFormat="1" applyFont="1" applyFill="1" applyBorder="1" applyAlignment="1">
      <alignment vertical="center"/>
    </xf>
    <xf numFmtId="3" fontId="9" fillId="9" borderId="1" xfId="0" applyNumberFormat="1" applyFont="1" applyFill="1" applyBorder="1" applyAlignment="1">
      <alignment vertical="center"/>
    </xf>
    <xf numFmtId="0" fontId="5" fillId="0" borderId="10" xfId="0" applyFont="1" applyBorder="1" applyAlignment="1">
      <alignment vertical="center"/>
    </xf>
    <xf numFmtId="3" fontId="6" fillId="0" borderId="0" xfId="0" applyNumberFormat="1" applyFont="1" applyAlignment="1">
      <alignment vertical="center"/>
    </xf>
    <xf numFmtId="0" fontId="0" fillId="11" borderId="10" xfId="0" applyFill="1" applyBorder="1"/>
    <xf numFmtId="3" fontId="7" fillId="0" borderId="0" xfId="0" applyNumberFormat="1" applyFont="1" applyAlignment="1">
      <alignment horizontal="center" vertical="center" wrapText="1"/>
    </xf>
    <xf numFmtId="3" fontId="11" fillId="0" borderId="0" xfId="0" applyNumberFormat="1" applyFont="1" applyAlignment="1">
      <alignment vertical="center" wrapText="1"/>
    </xf>
    <xf numFmtId="3" fontId="11" fillId="0" borderId="0" xfId="0" applyNumberFormat="1" applyFont="1" applyAlignment="1">
      <alignment horizontal="center" vertical="center" wrapText="1"/>
    </xf>
    <xf numFmtId="3" fontId="7" fillId="0" borderId="0" xfId="0" applyNumberFormat="1" applyFont="1"/>
    <xf numFmtId="3" fontId="6" fillId="0" borderId="0" xfId="0" applyNumberFormat="1" applyFont="1"/>
    <xf numFmtId="3" fontId="0" fillId="0" borderId="24" xfId="0" applyNumberFormat="1" applyBorder="1"/>
    <xf numFmtId="0" fontId="15" fillId="16" borderId="14" xfId="0" applyFont="1" applyFill="1" applyBorder="1" applyAlignment="1">
      <alignment horizontal="left"/>
    </xf>
    <xf numFmtId="3" fontId="15" fillId="0" borderId="0" xfId="0" applyNumberFormat="1" applyFont="1"/>
    <xf numFmtId="3" fontId="9" fillId="17" borderId="14" xfId="0" applyNumberFormat="1" applyFont="1" applyFill="1" applyBorder="1" applyAlignment="1">
      <alignment vertical="center"/>
    </xf>
    <xf numFmtId="3" fontId="9" fillId="0" borderId="0" xfId="0" applyNumberFormat="1" applyFont="1" applyAlignment="1">
      <alignment vertical="center"/>
    </xf>
    <xf numFmtId="3" fontId="17" fillId="0" borderId="0" xfId="0" applyNumberFormat="1" applyFont="1" applyAlignment="1">
      <alignment vertical="center"/>
    </xf>
    <xf numFmtId="0" fontId="2" fillId="21" borderId="34" xfId="0" applyFont="1" applyFill="1" applyBorder="1"/>
    <xf numFmtId="0" fontId="10" fillId="21" borderId="34" xfId="0" applyFont="1" applyFill="1" applyBorder="1"/>
    <xf numFmtId="0" fontId="9" fillId="21" borderId="34" xfId="0" applyFont="1" applyFill="1" applyBorder="1" applyAlignment="1">
      <alignment horizontal="center"/>
    </xf>
    <xf numFmtId="0" fontId="19" fillId="11" borderId="35" xfId="0" applyFont="1" applyFill="1" applyBorder="1"/>
    <xf numFmtId="0" fontId="19" fillId="11" borderId="34" xfId="0" applyFont="1" applyFill="1" applyBorder="1"/>
    <xf numFmtId="3" fontId="19" fillId="11" borderId="36" xfId="0" applyNumberFormat="1" applyFont="1" applyFill="1" applyBorder="1"/>
    <xf numFmtId="0" fontId="19" fillId="22" borderId="35" xfId="0" applyFont="1" applyFill="1" applyBorder="1"/>
    <xf numFmtId="0" fontId="19" fillId="22" borderId="34" xfId="0" applyFont="1" applyFill="1" applyBorder="1"/>
    <xf numFmtId="10" fontId="19" fillId="22" borderId="36" xfId="1" applyNumberFormat="1" applyFont="1" applyFill="1" applyBorder="1"/>
    <xf numFmtId="0" fontId="19" fillId="22" borderId="0" xfId="0" applyFont="1" applyFill="1"/>
    <xf numFmtId="0" fontId="0" fillId="0" borderId="37" xfId="0" applyBorder="1"/>
    <xf numFmtId="0" fontId="0" fillId="0" borderId="38" xfId="0" applyBorder="1"/>
    <xf numFmtId="0" fontId="2" fillId="17" borderId="39" xfId="0" applyFont="1" applyFill="1" applyBorder="1" applyAlignment="1">
      <alignment horizontal="left"/>
    </xf>
    <xf numFmtId="0" fontId="20" fillId="17" borderId="39" xfId="0" applyFont="1" applyFill="1" applyBorder="1"/>
    <xf numFmtId="3" fontId="20" fillId="17" borderId="39" xfId="0" applyNumberFormat="1" applyFont="1" applyFill="1" applyBorder="1"/>
    <xf numFmtId="0" fontId="7" fillId="0" borderId="35" xfId="0" applyFont="1" applyBorder="1"/>
    <xf numFmtId="0" fontId="0" fillId="0" borderId="34" xfId="0" applyBorder="1"/>
    <xf numFmtId="0" fontId="0" fillId="0" borderId="40" xfId="0" applyBorder="1"/>
    <xf numFmtId="0" fontId="21" fillId="17" borderId="35" xfId="0" applyFont="1" applyFill="1" applyBorder="1"/>
    <xf numFmtId="0" fontId="21" fillId="17" borderId="34" xfId="0" applyFont="1" applyFill="1" applyBorder="1"/>
    <xf numFmtId="10" fontId="21" fillId="17" borderId="41" xfId="1" applyNumberFormat="1" applyFont="1" applyFill="1" applyBorder="1"/>
    <xf numFmtId="0" fontId="7" fillId="16" borderId="35" xfId="0" applyFont="1" applyFill="1" applyBorder="1"/>
    <xf numFmtId="0" fontId="0" fillId="16" borderId="34" xfId="0" applyFill="1" applyBorder="1"/>
    <xf numFmtId="10" fontId="0" fillId="16" borderId="36" xfId="0" applyNumberFormat="1" applyFill="1" applyBorder="1"/>
    <xf numFmtId="0" fontId="7" fillId="23" borderId="35" xfId="0" applyFont="1" applyFill="1" applyBorder="1"/>
    <xf numFmtId="0" fontId="0" fillId="23" borderId="34" xfId="0" applyFill="1" applyBorder="1"/>
    <xf numFmtId="165" fontId="0" fillId="23" borderId="36" xfId="0" applyNumberFormat="1" applyFill="1" applyBorder="1"/>
    <xf numFmtId="10" fontId="7" fillId="16" borderId="36" xfId="1" applyNumberFormat="1" applyFont="1" applyFill="1" applyBorder="1"/>
    <xf numFmtId="10" fontId="21" fillId="17" borderId="36" xfId="1" applyNumberFormat="1" applyFont="1" applyFill="1" applyBorder="1"/>
    <xf numFmtId="0" fontId="22" fillId="16" borderId="35" xfId="0" applyFont="1" applyFill="1" applyBorder="1"/>
    <xf numFmtId="0" fontId="22" fillId="16" borderId="34" xfId="0" applyFont="1" applyFill="1" applyBorder="1"/>
    <xf numFmtId="10" fontId="22" fillId="16" borderId="36" xfId="1" applyNumberFormat="1" applyFont="1" applyFill="1" applyBorder="1"/>
    <xf numFmtId="0" fontId="22" fillId="23" borderId="35" xfId="0" applyFont="1" applyFill="1" applyBorder="1"/>
    <xf numFmtId="0" fontId="22" fillId="23" borderId="34" xfId="0" applyFont="1" applyFill="1" applyBorder="1"/>
    <xf numFmtId="10" fontId="22" fillId="23" borderId="36" xfId="1" applyNumberFormat="1" applyFont="1" applyFill="1" applyBorder="1"/>
    <xf numFmtId="2" fontId="22" fillId="16" borderId="36" xfId="1" applyNumberFormat="1" applyFont="1" applyFill="1" applyBorder="1"/>
    <xf numFmtId="3" fontId="7" fillId="10" borderId="13" xfId="0" applyNumberFormat="1" applyFont="1" applyFill="1" applyBorder="1"/>
    <xf numFmtId="0" fontId="25" fillId="0" borderId="0" xfId="0" applyFont="1"/>
    <xf numFmtId="3" fontId="25" fillId="0" borderId="0" xfId="0" applyNumberFormat="1" applyFont="1"/>
    <xf numFmtId="3" fontId="11" fillId="0" borderId="19" xfId="0" applyNumberFormat="1" applyFont="1" applyBorder="1" applyAlignment="1">
      <alignment horizontal="center" vertical="center" wrapText="1"/>
    </xf>
    <xf numFmtId="3" fontId="0" fillId="10" borderId="11" xfId="0" applyNumberFormat="1" applyFill="1" applyBorder="1"/>
    <xf numFmtId="3" fontId="0" fillId="10" borderId="12" xfId="0" applyNumberFormat="1" applyFill="1" applyBorder="1"/>
    <xf numFmtId="3" fontId="0" fillId="10" borderId="13" xfId="0" applyNumberFormat="1" applyFill="1" applyBorder="1"/>
    <xf numFmtId="0" fontId="7" fillId="10" borderId="10" xfId="0" applyFont="1" applyFill="1" applyBorder="1" applyAlignment="1">
      <alignment horizontal="left"/>
    </xf>
    <xf numFmtId="0" fontId="26" fillId="10" borderId="0" xfId="0" applyFont="1" applyFill="1"/>
    <xf numFmtId="164" fontId="0" fillId="10" borderId="13" xfId="0" applyNumberFormat="1" applyFill="1" applyBorder="1"/>
    <xf numFmtId="10" fontId="0" fillId="10" borderId="13" xfId="1" applyNumberFormat="1" applyFont="1" applyFill="1" applyBorder="1"/>
    <xf numFmtId="10" fontId="22" fillId="10" borderId="41" xfId="1" applyNumberFormat="1" applyFont="1" applyFill="1" applyBorder="1"/>
    <xf numFmtId="0" fontId="6" fillId="10" borderId="4" xfId="0" applyFont="1" applyFill="1" applyBorder="1" applyAlignment="1">
      <alignment horizontal="left"/>
    </xf>
    <xf numFmtId="3" fontId="0" fillId="10" borderId="6" xfId="0" applyNumberFormat="1" applyFill="1" applyBorder="1"/>
    <xf numFmtId="10" fontId="7" fillId="10" borderId="6" xfId="1" applyNumberFormat="1" applyFont="1" applyFill="1" applyBorder="1"/>
    <xf numFmtId="0" fontId="6" fillId="10" borderId="21" xfId="0" applyFont="1" applyFill="1" applyBorder="1" applyAlignment="1">
      <alignment horizontal="left"/>
    </xf>
    <xf numFmtId="3" fontId="0" fillId="10" borderId="22" xfId="0" applyNumberFormat="1" applyFill="1" applyBorder="1"/>
    <xf numFmtId="10" fontId="6" fillId="10" borderId="22" xfId="1" applyNumberFormat="1" applyFont="1" applyFill="1" applyBorder="1"/>
    <xf numFmtId="10" fontId="22" fillId="10" borderId="36" xfId="1" applyNumberFormat="1" applyFont="1" applyFill="1" applyBorder="1"/>
    <xf numFmtId="10" fontId="15" fillId="10" borderId="0" xfId="1" applyNumberFormat="1" applyFont="1" applyFill="1" applyBorder="1"/>
    <xf numFmtId="9" fontId="6" fillId="10" borderId="20" xfId="1" applyFont="1" applyFill="1" applyBorder="1"/>
    <xf numFmtId="0" fontId="7" fillId="10" borderId="0" xfId="0" applyFont="1" applyFill="1"/>
    <xf numFmtId="3" fontId="0" fillId="10" borderId="0" xfId="0" applyNumberFormat="1" applyFill="1"/>
    <xf numFmtId="0" fontId="6" fillId="16" borderId="4" xfId="0" applyFont="1" applyFill="1" applyBorder="1" applyAlignment="1">
      <alignment horizontal="center" vertical="center" wrapText="1"/>
    </xf>
    <xf numFmtId="0" fontId="6" fillId="16" borderId="7" xfId="0" applyFont="1" applyFill="1" applyBorder="1" applyAlignment="1">
      <alignment horizontal="center" vertical="center" wrapText="1"/>
    </xf>
    <xf numFmtId="3" fontId="6" fillId="16" borderId="6" xfId="0" applyNumberFormat="1" applyFont="1" applyFill="1" applyBorder="1" applyAlignment="1">
      <alignment horizontal="center" vertical="center" wrapText="1"/>
    </xf>
    <xf numFmtId="3" fontId="6" fillId="16" borderId="9" xfId="0" applyNumberFormat="1" applyFont="1" applyFill="1" applyBorder="1" applyAlignment="1">
      <alignment horizontal="center" vertical="center" wrapText="1"/>
    </xf>
    <xf numFmtId="3" fontId="11" fillId="16" borderId="6" xfId="0" applyNumberFormat="1" applyFont="1" applyFill="1" applyBorder="1" applyAlignment="1">
      <alignment horizontal="center" vertical="center" wrapText="1"/>
    </xf>
    <xf numFmtId="3" fontId="11" fillId="16" borderId="9" xfId="0" applyNumberFormat="1" applyFont="1" applyFill="1" applyBorder="1" applyAlignment="1">
      <alignment horizontal="center" vertical="center" wrapText="1"/>
    </xf>
    <xf numFmtId="0" fontId="7" fillId="8" borderId="5" xfId="0" applyFont="1" applyFill="1" applyBorder="1" applyAlignment="1">
      <alignment horizontal="center" vertical="center" wrapText="1"/>
    </xf>
    <xf numFmtId="0" fontId="0" fillId="8" borderId="8" xfId="0" applyFill="1" applyBorder="1" applyAlignment="1">
      <alignment horizontal="center" vertical="center" wrapText="1"/>
    </xf>
    <xf numFmtId="0" fontId="4" fillId="8" borderId="6" xfId="0" applyFont="1" applyFill="1" applyBorder="1" applyAlignment="1">
      <alignment horizontal="center" vertical="center" wrapText="1"/>
    </xf>
    <xf numFmtId="0" fontId="4" fillId="8" borderId="9" xfId="0" applyFont="1" applyFill="1" applyBorder="1" applyAlignment="1">
      <alignment horizontal="center" vertical="center" wrapText="1"/>
    </xf>
    <xf numFmtId="3" fontId="0" fillId="0" borderId="18" xfId="0" applyNumberFormat="1" applyBorder="1" applyAlignment="1">
      <alignment horizontal="center"/>
    </xf>
    <xf numFmtId="3" fontId="0" fillId="0" borderId="20" xfId="0" applyNumberFormat="1" applyBorder="1" applyAlignment="1">
      <alignment horizontal="center"/>
    </xf>
    <xf numFmtId="3" fontId="0" fillId="0" borderId="18" xfId="0" applyNumberFormat="1" applyBorder="1" applyAlignment="1">
      <alignment horizontal="center" vertical="center" wrapText="1"/>
    </xf>
    <xf numFmtId="3" fontId="0" fillId="0" borderId="20" xfId="0" applyNumberFormat="1" applyBorder="1" applyAlignment="1">
      <alignment horizontal="center" vertical="center" wrapText="1"/>
    </xf>
    <xf numFmtId="3" fontId="11" fillId="0" borderId="19" xfId="0" applyNumberFormat="1" applyFont="1" applyFill="1" applyBorder="1" applyAlignment="1">
      <alignment horizontal="center" vertical="center" wrapText="1"/>
    </xf>
    <xf numFmtId="0" fontId="9" fillId="14" borderId="6" xfId="0" applyFont="1" applyFill="1" applyBorder="1" applyAlignment="1">
      <alignment horizontal="center" vertical="center" wrapText="1"/>
    </xf>
    <xf numFmtId="0" fontId="9" fillId="14" borderId="9" xfId="0" applyFont="1" applyFill="1" applyBorder="1" applyAlignment="1">
      <alignment horizontal="center" vertical="center" wrapText="1"/>
    </xf>
    <xf numFmtId="3" fontId="8" fillId="14" borderId="6" xfId="0" applyNumberFormat="1" applyFont="1" applyFill="1" applyBorder="1" applyAlignment="1">
      <alignment horizontal="center" vertical="center" wrapText="1"/>
    </xf>
    <xf numFmtId="3" fontId="8" fillId="14" borderId="9" xfId="0" applyNumberFormat="1" applyFont="1" applyFill="1" applyBorder="1" applyAlignment="1">
      <alignment horizontal="center" vertical="center" wrapText="1"/>
    </xf>
    <xf numFmtId="3" fontId="13" fillId="14" borderId="6" xfId="0" applyNumberFormat="1" applyFont="1" applyFill="1" applyBorder="1" applyAlignment="1">
      <alignment horizontal="center" vertical="center" wrapText="1"/>
    </xf>
    <xf numFmtId="3" fontId="13" fillId="14" borderId="9" xfId="0" applyNumberFormat="1" applyFont="1" applyFill="1" applyBorder="1" applyAlignment="1">
      <alignment horizontal="center" vertical="center" wrapText="1"/>
    </xf>
    <xf numFmtId="0" fontId="3" fillId="6" borderId="5" xfId="0" applyFont="1" applyFill="1" applyBorder="1" applyAlignment="1">
      <alignment horizontal="center" vertical="center" wrapText="1"/>
    </xf>
    <xf numFmtId="0" fontId="3" fillId="6" borderId="8" xfId="0" applyFont="1" applyFill="1" applyBorder="1" applyAlignment="1">
      <alignment horizontal="center" vertical="center" wrapText="1"/>
    </xf>
    <xf numFmtId="3" fontId="4" fillId="6" borderId="6" xfId="0" applyNumberFormat="1" applyFont="1" applyFill="1" applyBorder="1" applyAlignment="1">
      <alignment horizontal="center" vertical="center" wrapText="1"/>
    </xf>
    <xf numFmtId="3" fontId="4" fillId="6" borderId="9" xfId="0" applyNumberFormat="1" applyFont="1" applyFill="1" applyBorder="1" applyAlignment="1">
      <alignment horizontal="center" vertical="center" wrapText="1"/>
    </xf>
    <xf numFmtId="0" fontId="3" fillId="8" borderId="4" xfId="0" applyFont="1" applyFill="1" applyBorder="1" applyAlignment="1">
      <alignment horizontal="center" vertical="center" wrapText="1"/>
    </xf>
    <xf numFmtId="0" fontId="0" fillId="8" borderId="7" xfId="0" applyFill="1" applyBorder="1" applyAlignment="1">
      <alignment horizontal="center" vertical="center" wrapText="1"/>
    </xf>
    <xf numFmtId="0" fontId="7" fillId="8" borderId="15" xfId="0" applyFont="1" applyFill="1" applyBorder="1" applyAlignment="1">
      <alignment horizontal="center" vertical="center" wrapText="1"/>
    </xf>
    <xf numFmtId="0" fontId="0" fillId="8" borderId="16" xfId="0"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3" fillId="3" borderId="4"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6" fillId="11" borderId="16" xfId="0" applyFont="1" applyFill="1" applyBorder="1" applyAlignment="1">
      <alignment horizontal="center" vertical="center" wrapText="1"/>
    </xf>
    <xf numFmtId="0" fontId="6" fillId="11" borderId="16" xfId="0" applyFont="1" applyFill="1" applyBorder="1" applyAlignment="1">
      <alignment horizontal="center" vertical="center"/>
    </xf>
    <xf numFmtId="0" fontId="2" fillId="19" borderId="1" xfId="0" applyFont="1" applyFill="1" applyBorder="1" applyAlignment="1">
      <alignment horizontal="center"/>
    </xf>
    <xf numFmtId="0" fontId="2" fillId="19" borderId="2" xfId="0" applyFont="1" applyFill="1" applyBorder="1" applyAlignment="1">
      <alignment horizontal="center"/>
    </xf>
    <xf numFmtId="0" fontId="2" fillId="19" borderId="3" xfId="0" applyFont="1" applyFill="1" applyBorder="1" applyAlignment="1">
      <alignment horizontal="center"/>
    </xf>
    <xf numFmtId="0" fontId="3" fillId="19" borderId="6" xfId="0" applyFont="1" applyFill="1" applyBorder="1" applyAlignment="1">
      <alignment horizontal="center" vertical="center" wrapText="1"/>
    </xf>
    <xf numFmtId="0" fontId="3" fillId="19" borderId="9" xfId="0" applyFont="1" applyFill="1" applyBorder="1" applyAlignment="1">
      <alignment horizontal="center" vertical="center" wrapText="1"/>
    </xf>
    <xf numFmtId="0" fontId="4" fillId="19" borderId="28" xfId="0" applyFont="1" applyFill="1" applyBorder="1" applyAlignment="1">
      <alignment horizontal="center" vertical="center" wrapText="1"/>
    </xf>
    <xf numFmtId="0" fontId="4" fillId="19" borderId="29" xfId="0" applyFont="1" applyFill="1" applyBorder="1" applyAlignment="1">
      <alignment horizontal="center" vertical="center" wrapText="1"/>
    </xf>
    <xf numFmtId="0" fontId="3" fillId="19" borderId="5" xfId="0" applyFont="1" applyFill="1" applyBorder="1" applyAlignment="1">
      <alignment horizontal="center" vertical="center" wrapText="1"/>
    </xf>
    <xf numFmtId="0" fontId="3" fillId="19" borderId="8" xfId="0" applyFont="1" applyFill="1" applyBorder="1" applyAlignment="1">
      <alignment horizontal="center" vertical="center" wrapText="1"/>
    </xf>
    <xf numFmtId="0" fontId="3" fillId="19" borderId="30" xfId="0" applyFont="1" applyFill="1" applyBorder="1" applyAlignment="1">
      <alignment horizontal="center" vertical="center" wrapText="1"/>
    </xf>
    <xf numFmtId="0" fontId="3" fillId="19" borderId="31" xfId="0" applyFont="1" applyFill="1" applyBorder="1" applyAlignment="1">
      <alignment horizontal="center" vertical="center" wrapText="1"/>
    </xf>
    <xf numFmtId="0" fontId="4" fillId="19" borderId="6" xfId="0" applyFont="1" applyFill="1" applyBorder="1" applyAlignment="1">
      <alignment horizontal="center" vertical="center" wrapText="1"/>
    </xf>
    <xf numFmtId="0" fontId="4" fillId="19" borderId="9" xfId="0" applyFont="1" applyFill="1" applyBorder="1" applyAlignment="1">
      <alignment horizontal="center" vertical="center" wrapText="1"/>
    </xf>
    <xf numFmtId="3" fontId="4" fillId="19" borderId="6" xfId="0" applyNumberFormat="1" applyFont="1" applyFill="1" applyBorder="1" applyAlignment="1">
      <alignment horizontal="center" vertical="center" wrapText="1"/>
    </xf>
    <xf numFmtId="3" fontId="4" fillId="19" borderId="9" xfId="0" applyNumberFormat="1" applyFont="1" applyFill="1" applyBorder="1" applyAlignment="1">
      <alignment horizontal="center" vertical="center" wrapText="1"/>
    </xf>
    <xf numFmtId="0" fontId="7" fillId="19" borderId="28" xfId="0" applyFont="1" applyFill="1" applyBorder="1" applyAlignment="1">
      <alignment horizontal="center" vertical="center" wrapText="1"/>
    </xf>
    <xf numFmtId="0" fontId="7" fillId="19" borderId="29" xfId="0" applyFont="1" applyFill="1" applyBorder="1" applyAlignment="1">
      <alignment horizontal="center" vertical="center" wrapText="1"/>
    </xf>
    <xf numFmtId="0" fontId="7" fillId="19" borderId="5" xfId="0" applyFont="1" applyFill="1" applyBorder="1" applyAlignment="1">
      <alignment horizontal="center" vertical="center" wrapText="1"/>
    </xf>
    <xf numFmtId="0" fontId="7" fillId="19" borderId="8" xfId="0" applyFont="1" applyFill="1" applyBorder="1" applyAlignment="1">
      <alignment horizontal="center" vertical="center" wrapText="1"/>
    </xf>
    <xf numFmtId="0" fontId="3" fillId="19" borderId="28" xfId="0" applyFont="1" applyFill="1" applyBorder="1" applyAlignment="1">
      <alignment horizontal="center" vertical="center" wrapText="1"/>
    </xf>
    <xf numFmtId="0" fontId="3" fillId="19" borderId="29" xfId="0" applyFont="1" applyFill="1" applyBorder="1" applyAlignment="1">
      <alignment horizontal="center" vertical="center" wrapText="1"/>
    </xf>
    <xf numFmtId="0" fontId="7" fillId="19" borderId="30" xfId="0" applyFont="1" applyFill="1" applyBorder="1" applyAlignment="1">
      <alignment horizontal="center" vertical="center" wrapText="1"/>
    </xf>
    <xf numFmtId="0" fontId="7" fillId="19" borderId="31" xfId="0" applyFont="1" applyFill="1" applyBorder="1" applyAlignment="1">
      <alignment horizontal="center" vertical="center" wrapText="1"/>
    </xf>
    <xf numFmtId="3" fontId="0" fillId="19" borderId="18" xfId="0" applyNumberFormat="1" applyFill="1" applyBorder="1" applyAlignment="1">
      <alignment horizontal="center"/>
    </xf>
    <xf numFmtId="3" fontId="0" fillId="19" borderId="20" xfId="0" applyNumberFormat="1" applyFill="1" applyBorder="1" applyAlignment="1">
      <alignment horizontal="center"/>
    </xf>
    <xf numFmtId="3" fontId="0" fillId="19" borderId="18" xfId="0" applyNumberFormat="1" applyFill="1" applyBorder="1" applyAlignment="1">
      <alignment horizontal="center" vertical="center" wrapText="1"/>
    </xf>
    <xf numFmtId="3" fontId="0" fillId="19" borderId="20" xfId="0" applyNumberFormat="1" applyFill="1" applyBorder="1" applyAlignment="1">
      <alignment horizontal="center" vertical="center" wrapText="1"/>
    </xf>
    <xf numFmtId="3" fontId="11" fillId="19" borderId="25" xfId="0" applyNumberFormat="1" applyFont="1" applyFill="1" applyBorder="1" applyAlignment="1">
      <alignment horizontal="center" vertical="center" wrapText="1"/>
    </xf>
    <xf numFmtId="3" fontId="11" fillId="19" borderId="26" xfId="0" applyNumberFormat="1" applyFont="1" applyFill="1" applyBorder="1" applyAlignment="1">
      <alignment horizontal="center" vertical="center" wrapText="1"/>
    </xf>
    <xf numFmtId="3" fontId="11" fillId="19" borderId="27" xfId="0" applyNumberFormat="1" applyFont="1" applyFill="1" applyBorder="1" applyAlignment="1">
      <alignment horizontal="center" vertical="center" wrapText="1"/>
    </xf>
    <xf numFmtId="0" fontId="7" fillId="11" borderId="16" xfId="0" applyFont="1" applyFill="1" applyBorder="1" applyAlignment="1">
      <alignment horizontal="center" wrapText="1"/>
    </xf>
    <xf numFmtId="0" fontId="0" fillId="11" borderId="16" xfId="0" applyFill="1" applyBorder="1" applyAlignment="1">
      <alignment horizontal="center"/>
    </xf>
    <xf numFmtId="0" fontId="9" fillId="19" borderId="6" xfId="0" applyFont="1" applyFill="1" applyBorder="1" applyAlignment="1">
      <alignment horizontal="center" vertical="center" wrapText="1"/>
    </xf>
    <xf numFmtId="0" fontId="9" fillId="19" borderId="9" xfId="0" applyFont="1" applyFill="1" applyBorder="1" applyAlignment="1">
      <alignment horizontal="center" vertical="center" wrapText="1"/>
    </xf>
    <xf numFmtId="3" fontId="8" fillId="19" borderId="6" xfId="0" applyNumberFormat="1" applyFont="1" applyFill="1" applyBorder="1" applyAlignment="1">
      <alignment horizontal="center" vertical="center" wrapText="1"/>
    </xf>
    <xf numFmtId="3" fontId="8" fillId="19" borderId="9" xfId="0" applyNumberFormat="1" applyFont="1" applyFill="1" applyBorder="1" applyAlignment="1">
      <alignment horizontal="center" vertical="center" wrapText="1"/>
    </xf>
    <xf numFmtId="3" fontId="13" fillId="19" borderId="6" xfId="0" applyNumberFormat="1" applyFont="1" applyFill="1" applyBorder="1" applyAlignment="1">
      <alignment horizontal="center" vertical="center" wrapText="1"/>
    </xf>
    <xf numFmtId="3" fontId="13" fillId="19" borderId="9" xfId="0" applyNumberFormat="1" applyFont="1" applyFill="1" applyBorder="1" applyAlignment="1">
      <alignment horizontal="center" vertical="center" wrapText="1"/>
    </xf>
    <xf numFmtId="0" fontId="3" fillId="6" borderId="32" xfId="0" applyFont="1" applyFill="1" applyBorder="1" applyAlignment="1">
      <alignment horizontal="center" vertical="center" wrapText="1"/>
    </xf>
    <xf numFmtId="0" fontId="3" fillId="6" borderId="33" xfId="0" applyFont="1" applyFill="1" applyBorder="1" applyAlignment="1">
      <alignment horizontal="center" vertical="center" wrapText="1"/>
    </xf>
    <xf numFmtId="0" fontId="7" fillId="11" borderId="16" xfId="0" applyFont="1" applyFill="1" applyBorder="1" applyAlignment="1">
      <alignment horizontal="center" vertical="top" wrapText="1"/>
    </xf>
    <xf numFmtId="0" fontId="0" fillId="11" borderId="16" xfId="0" applyFill="1" applyBorder="1" applyAlignment="1">
      <alignment horizontal="center" vertical="top"/>
    </xf>
    <xf numFmtId="0" fontId="7" fillId="8" borderId="32" xfId="0" applyFont="1" applyFill="1" applyBorder="1" applyAlignment="1">
      <alignment horizontal="center" vertical="center" wrapText="1"/>
    </xf>
    <xf numFmtId="0" fontId="0" fillId="8" borderId="33" xfId="0" applyFill="1" applyBorder="1" applyAlignment="1">
      <alignment horizontal="center" vertical="center" wrapText="1"/>
    </xf>
    <xf numFmtId="0" fontId="18" fillId="8" borderId="0" xfId="0" applyFont="1" applyFill="1" applyAlignment="1">
      <alignment horizontal="center"/>
    </xf>
    <xf numFmtId="3" fontId="11" fillId="0" borderId="19" xfId="0" applyNumberFormat="1" applyFont="1" applyBorder="1" applyAlignment="1">
      <alignment horizontal="center" vertical="center" wrapText="1"/>
    </xf>
    <xf numFmtId="0" fontId="7" fillId="11" borderId="16" xfId="0" applyFont="1" applyFill="1" applyBorder="1" applyAlignment="1">
      <alignment horizontal="center" vertical="center" wrapText="1"/>
    </xf>
    <xf numFmtId="0" fontId="0" fillId="11" borderId="16" xfId="0" applyFill="1" applyBorder="1" applyAlignment="1">
      <alignment horizontal="center" vertical="center"/>
    </xf>
    <xf numFmtId="0" fontId="0" fillId="11" borderId="16" xfId="0"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valenciaga/AppData/Local/Microsoft/Windows/INetCache/Content.Outlook/GN5AFDMB/Caso%20LLorenteCuenca%20(supuesto%20descarg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INC%20Clientes\Actuales\Llorente%20y%20Cuenca\Documentaci&#243;n\Top%20Talent\Modulos%20Online%20Plataforma%20Llorente\2&#186;%20A&#241;o\Modulo%201%20-%20Finanzas%20para%20no%20financieros\Caso%20Practico\Caso%20LLorente&amp;Cuenca%20(supuesto%20descarg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lementos de mujer"/>
      <sheetName val="Complementos de mujer 2"/>
      <sheetName val="Hoja3"/>
      <sheetName val="Hoja 4"/>
    </sheetNames>
    <sheetDataSet>
      <sheetData sheetId="0" refreshError="1">
        <row r="5">
          <cell r="A5" t="str">
            <v>Canon</v>
          </cell>
          <cell r="B5">
            <v>200000</v>
          </cell>
        </row>
        <row r="13">
          <cell r="B13">
            <v>100000</v>
          </cell>
        </row>
        <row r="22">
          <cell r="B22">
            <v>150000</v>
          </cell>
        </row>
        <row r="29">
          <cell r="C29" t="str">
            <v>BOLSOS</v>
          </cell>
          <cell r="D29" t="str">
            <v>ZAPATERIA</v>
          </cell>
          <cell r="E29" t="str">
            <v>JOYERIA</v>
          </cell>
        </row>
        <row r="30">
          <cell r="B30">
            <v>1400000</v>
          </cell>
        </row>
        <row r="31">
          <cell r="C31">
            <v>0.35</v>
          </cell>
          <cell r="D31">
            <v>0.45</v>
          </cell>
          <cell r="E31">
            <v>0.05</v>
          </cell>
          <cell r="F31">
            <v>0.15000000000000002</v>
          </cell>
        </row>
        <row r="34">
          <cell r="B34">
            <v>0.40100000000000002</v>
          </cell>
          <cell r="C34">
            <v>0.42</v>
          </cell>
          <cell r="D34">
            <v>0.39</v>
          </cell>
          <cell r="E34">
            <v>0.67</v>
          </cell>
          <cell r="F34">
            <v>0.3</v>
          </cell>
        </row>
        <row r="42">
          <cell r="B42">
            <v>-350000</v>
          </cell>
        </row>
      </sheetData>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lementos de mujer"/>
      <sheetName val="Complementos de mujer 2"/>
      <sheetName val="Hoja3"/>
      <sheetName val="Hoja 4"/>
    </sheetNames>
    <sheetDataSet>
      <sheetData sheetId="0" refreshError="1">
        <row r="5">
          <cell r="A5" t="str">
            <v>Canon</v>
          </cell>
          <cell r="B5">
            <v>200000</v>
          </cell>
        </row>
        <row r="13">
          <cell r="B13">
            <v>100000</v>
          </cell>
        </row>
        <row r="22">
          <cell r="B22">
            <v>150000</v>
          </cell>
        </row>
        <row r="29">
          <cell r="C29" t="str">
            <v>BOLSOS</v>
          </cell>
          <cell r="D29" t="str">
            <v>ZAPATERIA</v>
          </cell>
          <cell r="E29" t="str">
            <v>JOYERIA</v>
          </cell>
        </row>
        <row r="30">
          <cell r="B30">
            <v>1400000</v>
          </cell>
        </row>
        <row r="31">
          <cell r="C31">
            <v>0.35</v>
          </cell>
          <cell r="D31">
            <v>0.45</v>
          </cell>
          <cell r="E31">
            <v>0.05</v>
          </cell>
          <cell r="F31">
            <v>0.15000000000000002</v>
          </cell>
        </row>
        <row r="34">
          <cell r="B34">
            <v>0.40100000000000002</v>
          </cell>
          <cell r="C34">
            <v>0.42</v>
          </cell>
          <cell r="D34">
            <v>0.39</v>
          </cell>
          <cell r="E34">
            <v>0.67</v>
          </cell>
          <cell r="F34">
            <v>0.3</v>
          </cell>
        </row>
        <row r="42">
          <cell r="B42">
            <v>-350000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8.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2"/>
  <sheetViews>
    <sheetView showZeros="0" zoomScaleNormal="100" zoomScaleSheetLayoutView="100" workbookViewId="0">
      <selection activeCell="H33" sqref="H33"/>
    </sheetView>
  </sheetViews>
  <sheetFormatPr baseColWidth="10" defaultRowHeight="12.75" x14ac:dyDescent="0.35"/>
  <cols>
    <col min="1" max="1" width="41.265625" customWidth="1"/>
    <col min="2" max="9" width="14.1328125" customWidth="1"/>
    <col min="11" max="11" width="39.73046875" customWidth="1"/>
    <col min="16" max="16" width="10.1328125" customWidth="1"/>
  </cols>
  <sheetData>
    <row r="1" spans="1:9" ht="17.25" customHeight="1" thickBot="1" x14ac:dyDescent="0.4">
      <c r="C1" s="1"/>
      <c r="D1" s="1"/>
      <c r="E1" s="1"/>
      <c r="F1" s="1"/>
      <c r="G1" s="1"/>
      <c r="H1" s="1"/>
    </row>
    <row r="2" spans="1:9" ht="18" thickTop="1" thickBot="1" x14ac:dyDescent="0.5">
      <c r="A2" s="336" t="s">
        <v>0</v>
      </c>
      <c r="B2" s="337"/>
      <c r="C2" s="337"/>
      <c r="D2" s="337"/>
      <c r="E2" s="337"/>
      <c r="F2" s="337"/>
      <c r="G2" s="337"/>
      <c r="H2" s="337"/>
      <c r="I2" s="338"/>
    </row>
    <row r="3" spans="1:9" ht="13.5" customHeight="1" thickTop="1" x14ac:dyDescent="0.35">
      <c r="A3" s="339" t="s">
        <v>1</v>
      </c>
      <c r="B3" s="341" t="s">
        <v>2</v>
      </c>
      <c r="C3" s="343">
        <v>1</v>
      </c>
      <c r="D3" s="343">
        <f>+C3+1</f>
        <v>2</v>
      </c>
      <c r="E3" s="343">
        <f>+D3+1</f>
        <v>3</v>
      </c>
      <c r="F3" s="343">
        <f>+E3+1</f>
        <v>4</v>
      </c>
      <c r="G3" s="343">
        <f>+F3+1</f>
        <v>5</v>
      </c>
      <c r="H3" s="343">
        <f>+G3+1</f>
        <v>6</v>
      </c>
      <c r="I3" s="345" t="s">
        <v>3</v>
      </c>
    </row>
    <row r="4" spans="1:9" ht="13.5" customHeight="1" thickBot="1" x14ac:dyDescent="0.4">
      <c r="A4" s="340"/>
      <c r="B4" s="342"/>
      <c r="C4" s="344"/>
      <c r="D4" s="344"/>
      <c r="E4" s="344"/>
      <c r="F4" s="344"/>
      <c r="G4" s="344"/>
      <c r="H4" s="344"/>
      <c r="I4" s="346"/>
    </row>
    <row r="5" spans="1:9" ht="13.15" thickTop="1" x14ac:dyDescent="0.35">
      <c r="A5" s="2" t="s">
        <v>4</v>
      </c>
      <c r="B5" s="3">
        <v>200000</v>
      </c>
      <c r="C5" s="4"/>
      <c r="D5" s="5"/>
      <c r="E5" s="5"/>
      <c r="F5" s="6">
        <f>IF($D$44=1,B44,0)</f>
        <v>-20000</v>
      </c>
      <c r="G5" s="5"/>
      <c r="H5" s="5"/>
      <c r="I5" s="3">
        <f>SUM(B5:H5)</f>
        <v>180000</v>
      </c>
    </row>
    <row r="6" spans="1:9" x14ac:dyDescent="0.35">
      <c r="A6" s="2" t="s">
        <v>5</v>
      </c>
      <c r="B6" s="7">
        <v>0</v>
      </c>
      <c r="C6" s="4"/>
      <c r="D6" s="6"/>
      <c r="E6" s="6"/>
      <c r="F6" s="6"/>
      <c r="G6" s="6"/>
      <c r="H6" s="6"/>
      <c r="I6" s="7">
        <f>SUM(B6:H6)</f>
        <v>0</v>
      </c>
    </row>
    <row r="7" spans="1:9" x14ac:dyDescent="0.35">
      <c r="A7" s="2" t="s">
        <v>6</v>
      </c>
      <c r="B7" s="7">
        <v>0</v>
      </c>
      <c r="C7" s="4"/>
      <c r="D7" s="6"/>
      <c r="E7" s="6"/>
      <c r="F7" s="6"/>
      <c r="G7" s="6"/>
      <c r="H7" s="6"/>
      <c r="I7" s="7">
        <f>SUM(B7:H7)</f>
        <v>0</v>
      </c>
    </row>
    <row r="8" spans="1:9" ht="13.15" thickBot="1" x14ac:dyDescent="0.4">
      <c r="A8" s="2" t="s">
        <v>7</v>
      </c>
      <c r="B8" s="7">
        <f>+B66</f>
        <v>50000</v>
      </c>
      <c r="C8" s="4">
        <f>IF($D$38=1,C53,0)</f>
        <v>1400000</v>
      </c>
      <c r="D8" s="6">
        <f>IF($D$40=1,C54,0)</f>
        <v>-838600</v>
      </c>
      <c r="E8" s="6">
        <f>IF($D$42=1,C55,0)</f>
        <v>-350000</v>
      </c>
      <c r="G8" s="6">
        <f>IF($D$46=1,C56,0)</f>
        <v>-5000</v>
      </c>
      <c r="H8" s="6">
        <f>IF($D$48=1,C57,0)</f>
        <v>-46600</v>
      </c>
      <c r="I8" s="7">
        <f>SUM(B8:H8)</f>
        <v>209800</v>
      </c>
    </row>
    <row r="9" spans="1:9" ht="15.75" thickTop="1" thickBot="1" x14ac:dyDescent="0.4">
      <c r="A9" s="8" t="s">
        <v>8</v>
      </c>
      <c r="B9" s="9">
        <f t="shared" ref="B9:I9" si="0">SUM(B5:B8)</f>
        <v>250000</v>
      </c>
      <c r="C9" s="10">
        <f t="shared" si="0"/>
        <v>1400000</v>
      </c>
      <c r="D9" s="10">
        <f t="shared" si="0"/>
        <v>-838600</v>
      </c>
      <c r="E9" s="10">
        <f t="shared" si="0"/>
        <v>-350000</v>
      </c>
      <c r="F9" s="10">
        <f t="shared" si="0"/>
        <v>-20000</v>
      </c>
      <c r="G9" s="10">
        <f t="shared" si="0"/>
        <v>-5000</v>
      </c>
      <c r="H9" s="10">
        <f t="shared" si="0"/>
        <v>-46600</v>
      </c>
      <c r="I9" s="9">
        <f t="shared" si="0"/>
        <v>389800</v>
      </c>
    </row>
    <row r="10" spans="1:9" ht="5.0999999999999996" customHeight="1" thickTop="1" thickBot="1" x14ac:dyDescent="0.45">
      <c r="A10" s="11"/>
      <c r="B10" s="12"/>
      <c r="C10" s="12"/>
      <c r="D10" s="12"/>
      <c r="E10" s="12"/>
      <c r="F10" s="12"/>
      <c r="G10" s="12"/>
      <c r="H10" s="12"/>
      <c r="I10" s="13"/>
    </row>
    <row r="11" spans="1:9" ht="13.5" customHeight="1" thickTop="1" x14ac:dyDescent="0.35">
      <c r="A11" s="332" t="s">
        <v>9</v>
      </c>
      <c r="B11" s="326" t="str">
        <f t="shared" ref="B11:I11" si="1">+B3</f>
        <v>BALANCE INICIAL</v>
      </c>
      <c r="C11" s="334">
        <f t="shared" si="1"/>
        <v>1</v>
      </c>
      <c r="D11" s="324">
        <f t="shared" si="1"/>
        <v>2</v>
      </c>
      <c r="E11" s="324">
        <f t="shared" si="1"/>
        <v>3</v>
      </c>
      <c r="F11" s="324">
        <f t="shared" si="1"/>
        <v>4</v>
      </c>
      <c r="G11" s="324">
        <f t="shared" si="1"/>
        <v>5</v>
      </c>
      <c r="H11" s="324">
        <f t="shared" si="1"/>
        <v>6</v>
      </c>
      <c r="I11" s="326" t="str">
        <f t="shared" si="1"/>
        <v>BALANCE FINAL</v>
      </c>
    </row>
    <row r="12" spans="1:9" ht="13.15" thickBot="1" x14ac:dyDescent="0.4">
      <c r="A12" s="333"/>
      <c r="B12" s="327"/>
      <c r="C12" s="335"/>
      <c r="D12" s="325"/>
      <c r="E12" s="325"/>
      <c r="F12" s="325"/>
      <c r="G12" s="325"/>
      <c r="H12" s="325"/>
      <c r="I12" s="327"/>
    </row>
    <row r="13" spans="1:9" ht="13.15" thickTop="1" x14ac:dyDescent="0.35">
      <c r="A13" s="14" t="s">
        <v>10</v>
      </c>
      <c r="B13" s="3">
        <f>IF(B$25=0,0,100000)</f>
        <v>100000</v>
      </c>
      <c r="C13" s="15"/>
      <c r="D13" s="5"/>
      <c r="E13" s="5"/>
      <c r="F13" s="5"/>
      <c r="G13" s="5"/>
      <c r="H13" s="5"/>
      <c r="I13" s="7">
        <f>SUM(B13:H13)</f>
        <v>100000</v>
      </c>
    </row>
    <row r="14" spans="1:9" x14ac:dyDescent="0.35">
      <c r="A14" s="2" t="s">
        <v>11</v>
      </c>
      <c r="B14" s="7"/>
      <c r="C14" s="4"/>
      <c r="D14" s="6"/>
      <c r="E14" s="6"/>
      <c r="F14" s="6"/>
      <c r="G14" s="6"/>
      <c r="H14" s="6"/>
      <c r="I14" s="7">
        <f>SUM(B14:H14)</f>
        <v>0</v>
      </c>
    </row>
    <row r="15" spans="1:9" x14ac:dyDescent="0.35">
      <c r="A15" s="2" t="s">
        <v>12</v>
      </c>
      <c r="B15" s="7"/>
      <c r="C15" s="4"/>
      <c r="D15" s="6"/>
      <c r="E15" s="6"/>
      <c r="F15" s="6"/>
      <c r="G15" s="6"/>
      <c r="H15" s="6"/>
      <c r="I15" s="7">
        <f>SUM(B15:H15)</f>
        <v>0</v>
      </c>
    </row>
    <row r="16" spans="1:9" x14ac:dyDescent="0.35">
      <c r="A16" s="2" t="s">
        <v>13</v>
      </c>
      <c r="B16" s="7"/>
      <c r="C16" s="4"/>
      <c r="D16" s="6"/>
      <c r="E16" s="6"/>
      <c r="F16" s="6"/>
      <c r="G16" s="6"/>
      <c r="H16" s="6"/>
      <c r="I16" s="7">
        <f>SUM(B16:H16)</f>
        <v>0</v>
      </c>
    </row>
    <row r="17" spans="1:10" ht="13.15" thickBot="1" x14ac:dyDescent="0.4">
      <c r="A17" s="2" t="s">
        <v>14</v>
      </c>
      <c r="B17" s="7"/>
      <c r="C17" s="4"/>
      <c r="D17" s="16"/>
      <c r="E17" s="16"/>
      <c r="F17" s="16"/>
      <c r="G17" s="16"/>
      <c r="H17" s="16"/>
      <c r="I17" s="7">
        <f>SUM(B17:H17)</f>
        <v>0</v>
      </c>
    </row>
    <row r="18" spans="1:10" ht="13.9" thickTop="1" thickBot="1" x14ac:dyDescent="0.45">
      <c r="A18" s="17" t="s">
        <v>15</v>
      </c>
      <c r="B18" s="18">
        <f t="shared" ref="B18:I18" si="2">SUM(B13:B17)</f>
        <v>100000</v>
      </c>
      <c r="C18" s="18">
        <f t="shared" si="2"/>
        <v>0</v>
      </c>
      <c r="D18" s="18">
        <f t="shared" si="2"/>
        <v>0</v>
      </c>
      <c r="E18" s="18">
        <f t="shared" si="2"/>
        <v>0</v>
      </c>
      <c r="F18" s="18">
        <f t="shared" si="2"/>
        <v>0</v>
      </c>
      <c r="G18" s="18">
        <f t="shared" si="2"/>
        <v>0</v>
      </c>
      <c r="H18" s="18">
        <f t="shared" si="2"/>
        <v>0</v>
      </c>
      <c r="I18" s="18">
        <f t="shared" si="2"/>
        <v>100000</v>
      </c>
    </row>
    <row r="19" spans="1:10" ht="5.0999999999999996" customHeight="1" thickTop="1" thickBot="1" x14ac:dyDescent="0.45">
      <c r="A19" s="19"/>
      <c r="B19" s="20"/>
      <c r="C19" s="20"/>
      <c r="D19" s="20"/>
      <c r="E19" s="20"/>
      <c r="F19" s="20"/>
      <c r="G19" s="20"/>
      <c r="H19" s="20"/>
      <c r="I19" s="21"/>
    </row>
    <row r="20" spans="1:10" ht="13.15" thickTop="1" x14ac:dyDescent="0.35">
      <c r="A20" s="328" t="s">
        <v>16</v>
      </c>
      <c r="B20" s="311" t="s">
        <v>2</v>
      </c>
      <c r="C20" s="330">
        <f t="shared" ref="C20:H20" si="3">+C11</f>
        <v>1</v>
      </c>
      <c r="D20" s="309">
        <f t="shared" si="3"/>
        <v>2</v>
      </c>
      <c r="E20" s="309">
        <f t="shared" si="3"/>
        <v>3</v>
      </c>
      <c r="F20" s="309">
        <f t="shared" si="3"/>
        <v>4</v>
      </c>
      <c r="G20" s="309">
        <f t="shared" si="3"/>
        <v>5</v>
      </c>
      <c r="H20" s="309">
        <f t="shared" si="3"/>
        <v>6</v>
      </c>
      <c r="I20" s="311" t="s">
        <v>3</v>
      </c>
    </row>
    <row r="21" spans="1:10" ht="13.15" thickBot="1" x14ac:dyDescent="0.4">
      <c r="A21" s="329"/>
      <c r="B21" s="312"/>
      <c r="C21" s="331"/>
      <c r="D21" s="310"/>
      <c r="E21" s="310"/>
      <c r="F21" s="310"/>
      <c r="G21" s="310"/>
      <c r="H21" s="310"/>
      <c r="I21" s="312"/>
    </row>
    <row r="22" spans="1:10" ht="13.15" thickTop="1" x14ac:dyDescent="0.35">
      <c r="A22" s="14" t="s">
        <v>17</v>
      </c>
      <c r="B22" s="3">
        <f>IF(B$25=0,0,150000)</f>
        <v>150000</v>
      </c>
      <c r="C22" s="15"/>
      <c r="D22" s="5"/>
      <c r="E22" s="5"/>
      <c r="F22" s="5"/>
      <c r="G22" s="5"/>
      <c r="H22" s="5"/>
      <c r="I22" s="3">
        <f>SUM(B22:H22)</f>
        <v>150000</v>
      </c>
    </row>
    <row r="23" spans="1:10" ht="13.15" thickBot="1" x14ac:dyDescent="0.4">
      <c r="A23" s="22" t="s">
        <v>18</v>
      </c>
      <c r="B23" s="7"/>
      <c r="C23" s="4">
        <f>IF($D$38=1,B38,0)</f>
        <v>1400000</v>
      </c>
      <c r="D23" s="16">
        <f>IF($D$40=1,B40,0)</f>
        <v>-838600</v>
      </c>
      <c r="E23" s="6">
        <f>IF($D$42=1,B42,0)</f>
        <v>-350000</v>
      </c>
      <c r="F23" s="6">
        <f>IF($D$44=1,B44,0)</f>
        <v>-20000</v>
      </c>
      <c r="G23" s="6">
        <f>IF($D$46=1,B46,0)</f>
        <v>-5000</v>
      </c>
      <c r="H23" s="6">
        <f>IF($D$48=1,B48,0)</f>
        <v>-46600</v>
      </c>
      <c r="I23" s="7">
        <f>SUM(B23:H23)</f>
        <v>139800</v>
      </c>
    </row>
    <row r="24" spans="1:10" ht="15.75" thickTop="1" thickBot="1" x14ac:dyDescent="0.4">
      <c r="A24" s="23" t="s">
        <v>19</v>
      </c>
      <c r="B24" s="24">
        <f t="shared" ref="B24:I24" si="4">SUM(B22:B23)</f>
        <v>150000</v>
      </c>
      <c r="C24" s="24">
        <f t="shared" si="4"/>
        <v>1400000</v>
      </c>
      <c r="D24" s="24">
        <f t="shared" si="4"/>
        <v>-838600</v>
      </c>
      <c r="E24" s="24">
        <f t="shared" si="4"/>
        <v>-350000</v>
      </c>
      <c r="F24" s="24">
        <f t="shared" si="4"/>
        <v>-20000</v>
      </c>
      <c r="G24" s="24">
        <f t="shared" si="4"/>
        <v>-5000</v>
      </c>
      <c r="H24" s="24">
        <f t="shared" si="4"/>
        <v>-46600</v>
      </c>
      <c r="I24" s="24">
        <f t="shared" si="4"/>
        <v>289800</v>
      </c>
    </row>
    <row r="25" spans="1:10" ht="15.4" thickTop="1" x14ac:dyDescent="0.35">
      <c r="A25" s="25"/>
      <c r="B25" s="26">
        <v>1</v>
      </c>
      <c r="C25" s="27"/>
      <c r="D25" s="27"/>
      <c r="E25" s="27"/>
      <c r="F25" s="27"/>
      <c r="G25" s="27"/>
      <c r="H25" s="27"/>
      <c r="I25" s="27"/>
      <c r="J25" s="1"/>
    </row>
    <row r="26" spans="1:10" x14ac:dyDescent="0.35">
      <c r="A26" s="28" t="s">
        <v>20</v>
      </c>
      <c r="B26" s="29">
        <f t="shared" ref="B26:I26" si="5">+B9-B18-B24</f>
        <v>0</v>
      </c>
      <c r="C26" s="29">
        <f t="shared" si="5"/>
        <v>0</v>
      </c>
      <c r="D26" s="29">
        <f t="shared" si="5"/>
        <v>0</v>
      </c>
      <c r="E26" s="29">
        <f t="shared" si="5"/>
        <v>0</v>
      </c>
      <c r="F26" s="29">
        <f t="shared" si="5"/>
        <v>0</v>
      </c>
      <c r="G26" s="29">
        <f t="shared" si="5"/>
        <v>0</v>
      </c>
      <c r="H26" s="29">
        <f t="shared" si="5"/>
        <v>0</v>
      </c>
      <c r="I26" s="29">
        <f t="shared" si="5"/>
        <v>0</v>
      </c>
    </row>
    <row r="27" spans="1:10" ht="23.25" customHeight="1" x14ac:dyDescent="0.35">
      <c r="B27" s="30">
        <f>+B9-B18-B24</f>
        <v>0</v>
      </c>
      <c r="C27" s="31"/>
      <c r="D27" s="31"/>
      <c r="E27" s="31"/>
      <c r="F27" s="32"/>
      <c r="G27" s="33"/>
      <c r="H27" s="34"/>
      <c r="I27" s="34"/>
    </row>
    <row r="28" spans="1:10" ht="15" customHeight="1" x14ac:dyDescent="0.35">
      <c r="A28" s="313"/>
      <c r="B28" s="315" t="s">
        <v>21</v>
      </c>
      <c r="C28" s="317" t="s">
        <v>22</v>
      </c>
      <c r="D28" s="317"/>
      <c r="E28" s="317"/>
      <c r="F28" s="317"/>
      <c r="G28" s="33"/>
      <c r="H28" s="34"/>
      <c r="I28" s="34"/>
    </row>
    <row r="29" spans="1:10" ht="15" customHeight="1" x14ac:dyDescent="0.35">
      <c r="A29" s="314"/>
      <c r="B29" s="316"/>
      <c r="C29" s="35" t="s">
        <v>23</v>
      </c>
      <c r="D29" s="35" t="s">
        <v>24</v>
      </c>
      <c r="E29" s="35" t="s">
        <v>25</v>
      </c>
      <c r="F29" s="35" t="s">
        <v>26</v>
      </c>
      <c r="G29" s="33"/>
      <c r="H29" s="34"/>
      <c r="I29" s="34"/>
    </row>
    <row r="30" spans="1:10" ht="15" customHeight="1" x14ac:dyDescent="0.4">
      <c r="A30" s="36" t="s">
        <v>27</v>
      </c>
      <c r="B30" s="37">
        <v>1400000</v>
      </c>
      <c r="C30" s="38">
        <f>+$B$30*C31</f>
        <v>489999.99999999994</v>
      </c>
      <c r="D30" s="38">
        <f>+$B$30*D31</f>
        <v>630000</v>
      </c>
      <c r="E30" s="38">
        <f>+$B$30*E31</f>
        <v>70000</v>
      </c>
      <c r="F30" s="39">
        <f>+$B$30*F31</f>
        <v>210000.00000000003</v>
      </c>
      <c r="G30" s="33"/>
      <c r="H30" s="34"/>
      <c r="I30" s="34"/>
    </row>
    <row r="31" spans="1:10" ht="15" customHeight="1" x14ac:dyDescent="0.35">
      <c r="A31" s="40" t="s">
        <v>28</v>
      </c>
      <c r="B31" s="41">
        <f>SUM(C31:F31)</f>
        <v>1</v>
      </c>
      <c r="C31" s="42">
        <v>0.35</v>
      </c>
      <c r="D31" s="42">
        <v>0.45</v>
      </c>
      <c r="E31" s="42">
        <v>0.05</v>
      </c>
      <c r="F31" s="43">
        <f>1-C31-D31-E31</f>
        <v>0.15000000000000002</v>
      </c>
      <c r="G31" s="33"/>
      <c r="H31" s="34"/>
      <c r="I31" s="34"/>
    </row>
    <row r="32" spans="1:10" ht="15" customHeight="1" x14ac:dyDescent="0.35">
      <c r="A32" s="44" t="s">
        <v>29</v>
      </c>
      <c r="B32" s="45">
        <f>-SUM(C32:F32)</f>
        <v>-838600</v>
      </c>
      <c r="C32" s="46">
        <f>+C30*(1-C34)</f>
        <v>284200</v>
      </c>
      <c r="D32" s="46">
        <f>+D30*(1-D34)</f>
        <v>384300</v>
      </c>
      <c r="E32" s="46">
        <f>+E30*(1-E34)</f>
        <v>23099.999999999996</v>
      </c>
      <c r="F32" s="46">
        <f>+F30*(1-F34)</f>
        <v>147000</v>
      </c>
      <c r="G32" s="33"/>
      <c r="H32" s="34"/>
      <c r="I32" s="34"/>
    </row>
    <row r="33" spans="1:9" ht="15" customHeight="1" x14ac:dyDescent="0.4">
      <c r="A33" s="47" t="s">
        <v>30</v>
      </c>
      <c r="B33" s="48">
        <f>SUM(C33:F33)</f>
        <v>561400</v>
      </c>
      <c r="C33" s="49">
        <f>+C30-C32</f>
        <v>205799.99999999994</v>
      </c>
      <c r="D33" s="49">
        <f>+D30-D32</f>
        <v>245700</v>
      </c>
      <c r="E33" s="49">
        <f>+E30-E32</f>
        <v>46900</v>
      </c>
      <c r="F33" s="49">
        <f>+F30-F32</f>
        <v>63000.000000000029</v>
      </c>
      <c r="G33" s="33"/>
      <c r="H33" s="34"/>
      <c r="I33" s="34"/>
    </row>
    <row r="34" spans="1:9" ht="15" customHeight="1" x14ac:dyDescent="0.4">
      <c r="A34" s="50" t="s">
        <v>31</v>
      </c>
      <c r="B34" s="51">
        <f>+B33/B30</f>
        <v>0.40100000000000002</v>
      </c>
      <c r="C34" s="52">
        <v>0.42</v>
      </c>
      <c r="D34" s="52">
        <v>0.39</v>
      </c>
      <c r="E34" s="52">
        <v>0.67</v>
      </c>
      <c r="F34" s="53">
        <v>0.3</v>
      </c>
      <c r="G34" s="33"/>
      <c r="H34" s="34"/>
      <c r="I34" s="34"/>
    </row>
    <row r="35" spans="1:9" ht="23.25" customHeight="1" thickBot="1" x14ac:dyDescent="0.4">
      <c r="B35" s="30"/>
      <c r="C35" s="31"/>
      <c r="D35" s="31"/>
      <c r="E35" s="31"/>
      <c r="F35" s="32"/>
      <c r="G35" s="33"/>
      <c r="H35" s="34"/>
      <c r="I35" s="34"/>
    </row>
    <row r="36" spans="1:9" ht="13.5" customHeight="1" thickTop="1" x14ac:dyDescent="0.35">
      <c r="A36" s="318" t="s">
        <v>32</v>
      </c>
      <c r="B36" s="320" t="s">
        <v>33</v>
      </c>
      <c r="C36" s="322" t="s">
        <v>34</v>
      </c>
      <c r="D36" s="54"/>
      <c r="E36" s="54"/>
      <c r="H36" s="55"/>
      <c r="I36" s="55"/>
    </row>
    <row r="37" spans="1:9" ht="15" customHeight="1" thickBot="1" x14ac:dyDescent="0.4">
      <c r="A37" s="319"/>
      <c r="B37" s="321"/>
      <c r="C37" s="323"/>
    </row>
    <row r="38" spans="1:9" ht="13.5" thickTop="1" x14ac:dyDescent="0.4">
      <c r="A38" s="56" t="s">
        <v>35</v>
      </c>
      <c r="B38" s="57">
        <f>IF($D38=1,B30,0)</f>
        <v>1400000</v>
      </c>
      <c r="C38" s="58">
        <f t="shared" ref="C38:C49" si="6">+B38/$B$38</f>
        <v>1</v>
      </c>
      <c r="D38" s="26">
        <v>1</v>
      </c>
      <c r="E38" s="59" t="s">
        <v>36</v>
      </c>
    </row>
    <row r="39" spans="1:9" ht="18" customHeight="1" thickBot="1" x14ac:dyDescent="0.45">
      <c r="A39" s="60" t="s">
        <v>37</v>
      </c>
      <c r="B39" s="61">
        <f>+B38</f>
        <v>1400000</v>
      </c>
      <c r="C39" s="62">
        <f t="shared" si="6"/>
        <v>1</v>
      </c>
    </row>
    <row r="40" spans="1:9" ht="18" customHeight="1" thickTop="1" x14ac:dyDescent="0.35">
      <c r="A40" s="63" t="s">
        <v>38</v>
      </c>
      <c r="B40" s="57">
        <f>IF($D40=1,B32,0)</f>
        <v>-838600</v>
      </c>
      <c r="C40" s="64">
        <f t="shared" si="6"/>
        <v>-0.59899999999999998</v>
      </c>
      <c r="D40" s="26">
        <v>1</v>
      </c>
      <c r="E40" s="59" t="s">
        <v>39</v>
      </c>
    </row>
    <row r="41" spans="1:9" ht="18" customHeight="1" x14ac:dyDescent="0.4">
      <c r="A41" s="65" t="s">
        <v>40</v>
      </c>
      <c r="B41" s="66">
        <f>+B38+B40</f>
        <v>561400</v>
      </c>
      <c r="C41" s="67">
        <f t="shared" si="6"/>
        <v>0.40100000000000002</v>
      </c>
    </row>
    <row r="42" spans="1:9" ht="18" customHeight="1" x14ac:dyDescent="0.35">
      <c r="A42" s="68" t="s">
        <v>41</v>
      </c>
      <c r="B42" s="69">
        <f>IF($D42=1,-350000,0)</f>
        <v>-350000</v>
      </c>
      <c r="C42" s="70">
        <f t="shared" si="6"/>
        <v>-0.25</v>
      </c>
      <c r="D42" s="26">
        <v>1</v>
      </c>
      <c r="E42" s="59" t="s">
        <v>42</v>
      </c>
    </row>
    <row r="43" spans="1:9" ht="18" customHeight="1" x14ac:dyDescent="0.4">
      <c r="A43" s="71" t="s">
        <v>43</v>
      </c>
      <c r="B43" s="72">
        <f>+B41+B42</f>
        <v>211400</v>
      </c>
      <c r="C43" s="67">
        <f t="shared" si="6"/>
        <v>0.151</v>
      </c>
      <c r="F43" s="73"/>
      <c r="G43" s="73"/>
      <c r="H43" s="73"/>
    </row>
    <row r="44" spans="1:9" ht="18" customHeight="1" x14ac:dyDescent="0.35">
      <c r="A44" s="68" t="s">
        <v>44</v>
      </c>
      <c r="B44" s="69">
        <f>IF($D44=1,-B5/10,0)</f>
        <v>-20000</v>
      </c>
      <c r="C44" s="70">
        <f t="shared" si="6"/>
        <v>-1.4285714285714285E-2</v>
      </c>
      <c r="D44" s="26">
        <v>1</v>
      </c>
      <c r="E44" s="59" t="s">
        <v>45</v>
      </c>
      <c r="F44" s="74"/>
      <c r="G44" s="74"/>
      <c r="H44" s="74"/>
    </row>
    <row r="45" spans="1:9" ht="18" customHeight="1" x14ac:dyDescent="0.4">
      <c r="A45" s="71" t="s">
        <v>46</v>
      </c>
      <c r="B45" s="72">
        <f>+B43+B44</f>
        <v>191400</v>
      </c>
      <c r="C45" s="67">
        <f t="shared" si="6"/>
        <v>0.1367142857142857</v>
      </c>
      <c r="F45" s="73"/>
      <c r="G45" s="73"/>
      <c r="H45" s="73"/>
    </row>
    <row r="46" spans="1:9" ht="18" customHeight="1" x14ac:dyDescent="0.35">
      <c r="A46" s="75" t="s">
        <v>47</v>
      </c>
      <c r="B46" s="69">
        <f>IF($D46=1,-B13*0.05,0)</f>
        <v>-5000</v>
      </c>
      <c r="C46" s="70">
        <f t="shared" si="6"/>
        <v>-3.5714285714285713E-3</v>
      </c>
      <c r="D46" s="26">
        <v>1</v>
      </c>
      <c r="E46" s="59" t="s">
        <v>48</v>
      </c>
      <c r="F46" s="74"/>
      <c r="G46" s="74"/>
      <c r="H46" s="74"/>
    </row>
    <row r="47" spans="1:9" ht="18" customHeight="1" x14ac:dyDescent="0.4">
      <c r="A47" s="71" t="s">
        <v>49</v>
      </c>
      <c r="B47" s="72">
        <f>+B45+B46</f>
        <v>186400</v>
      </c>
      <c r="C47" s="67">
        <f t="shared" si="6"/>
        <v>0.13314285714285715</v>
      </c>
      <c r="F47" s="73"/>
      <c r="G47" s="73"/>
      <c r="H47" s="73"/>
    </row>
    <row r="48" spans="1:9" ht="18" customHeight="1" x14ac:dyDescent="0.35">
      <c r="A48" s="68" t="s">
        <v>50</v>
      </c>
      <c r="B48" s="69">
        <f>IF($D48=1,-B47*0.25,0)</f>
        <v>-46600</v>
      </c>
      <c r="C48" s="70">
        <f t="shared" si="6"/>
        <v>-3.3285714285714287E-2</v>
      </c>
      <c r="D48" s="26">
        <v>1</v>
      </c>
      <c r="E48" s="59" t="s">
        <v>51</v>
      </c>
      <c r="F48" s="74"/>
      <c r="G48" s="74"/>
      <c r="H48" s="74"/>
    </row>
    <row r="49" spans="1:9" ht="18" customHeight="1" x14ac:dyDescent="0.35">
      <c r="A49" s="76" t="s">
        <v>52</v>
      </c>
      <c r="B49" s="77">
        <f>+B47+B48</f>
        <v>139800</v>
      </c>
      <c r="C49" s="78">
        <f t="shared" si="6"/>
        <v>9.9857142857142853E-2</v>
      </c>
      <c r="D49" s="79"/>
      <c r="E49" s="79"/>
      <c r="F49" s="79"/>
      <c r="G49" s="79"/>
      <c r="H49" s="79"/>
    </row>
    <row r="50" spans="1:9" ht="18" customHeight="1" thickBot="1" x14ac:dyDescent="0.4">
      <c r="D50" s="1"/>
      <c r="E50" s="1"/>
      <c r="F50" s="1"/>
      <c r="G50" s="1"/>
      <c r="H50" s="1"/>
    </row>
    <row r="51" spans="1:9" ht="13.15" thickTop="1" x14ac:dyDescent="0.35">
      <c r="A51" s="303" t="s">
        <v>53</v>
      </c>
      <c r="B51" s="305" t="s">
        <v>54</v>
      </c>
      <c r="C51" s="307" t="s">
        <v>53</v>
      </c>
      <c r="D51" s="54"/>
      <c r="E51" s="54"/>
      <c r="F51" s="54"/>
      <c r="G51" s="54"/>
      <c r="H51" s="54"/>
      <c r="I51" s="31"/>
    </row>
    <row r="52" spans="1:9" ht="13.15" thickBot="1" x14ac:dyDescent="0.4">
      <c r="A52" s="304"/>
      <c r="B52" s="306"/>
      <c r="C52" s="308"/>
      <c r="D52" s="54"/>
      <c r="E52" s="54"/>
      <c r="F52" s="54"/>
      <c r="G52" s="54"/>
      <c r="H52" s="54"/>
    </row>
    <row r="53" spans="1:9" ht="16.5" customHeight="1" thickTop="1" x14ac:dyDescent="0.35">
      <c r="A53" s="80" t="s">
        <v>55</v>
      </c>
      <c r="B53" s="81">
        <v>0</v>
      </c>
      <c r="C53" s="82">
        <f>+B38</f>
        <v>1400000</v>
      </c>
      <c r="D53" s="83"/>
      <c r="E53" s="83"/>
      <c r="F53" s="83"/>
      <c r="G53" s="83"/>
      <c r="H53" s="83"/>
    </row>
    <row r="54" spans="1:9" x14ac:dyDescent="0.35">
      <c r="A54" s="75" t="s">
        <v>56</v>
      </c>
      <c r="B54" s="7">
        <v>0</v>
      </c>
      <c r="C54" s="84">
        <f>+B40</f>
        <v>-838600</v>
      </c>
      <c r="D54" s="85"/>
      <c r="E54" s="85"/>
      <c r="F54" s="85"/>
      <c r="G54" s="85"/>
      <c r="H54" s="85"/>
    </row>
    <row r="55" spans="1:9" x14ac:dyDescent="0.35">
      <c r="A55" s="68" t="s">
        <v>57</v>
      </c>
      <c r="B55" s="7">
        <v>0</v>
      </c>
      <c r="C55" s="84">
        <f>+B42</f>
        <v>-350000</v>
      </c>
      <c r="D55" s="85"/>
      <c r="E55" s="85"/>
      <c r="F55" s="85"/>
      <c r="G55" s="85"/>
      <c r="H55" s="85"/>
    </row>
    <row r="56" spans="1:9" x14ac:dyDescent="0.35">
      <c r="A56" s="68" t="s">
        <v>58</v>
      </c>
      <c r="B56" s="7"/>
      <c r="C56" s="84">
        <f>+B46</f>
        <v>-5000</v>
      </c>
      <c r="D56" s="85"/>
      <c r="E56" s="85"/>
      <c r="F56" s="85"/>
      <c r="G56" s="85"/>
      <c r="H56" s="85"/>
    </row>
    <row r="57" spans="1:9" ht="13.15" thickBot="1" x14ac:dyDescent="0.4">
      <c r="A57" s="68" t="s">
        <v>59</v>
      </c>
      <c r="B57" s="7"/>
      <c r="C57" s="84">
        <f>+B48</f>
        <v>-46600</v>
      </c>
      <c r="D57" s="85"/>
      <c r="E57" s="85"/>
      <c r="F57" s="85"/>
      <c r="G57" s="85"/>
      <c r="H57" s="85"/>
    </row>
    <row r="58" spans="1:9" ht="13.9" thickTop="1" thickBot="1" x14ac:dyDescent="0.45">
      <c r="A58" s="86" t="s">
        <v>60</v>
      </c>
      <c r="B58" s="87">
        <f>SUM(B53:B57)</f>
        <v>0</v>
      </c>
      <c r="C58" s="87">
        <f>SUM(C53:C57)</f>
        <v>159800</v>
      </c>
      <c r="D58" s="88"/>
      <c r="E58" s="88"/>
      <c r="F58" s="88"/>
      <c r="G58" s="88"/>
      <c r="H58" s="88"/>
    </row>
    <row r="59" spans="1:9" ht="13.15" thickTop="1" x14ac:dyDescent="0.35">
      <c r="A59" s="75" t="s">
        <v>61</v>
      </c>
      <c r="B59" s="3">
        <f>-B5</f>
        <v>-200000</v>
      </c>
      <c r="C59" s="57"/>
      <c r="D59" s="85"/>
      <c r="E59" s="85"/>
      <c r="F59" s="85"/>
      <c r="G59" s="85"/>
      <c r="H59" s="85"/>
    </row>
    <row r="60" spans="1:9" ht="13.15" thickBot="1" x14ac:dyDescent="0.4">
      <c r="A60" s="75"/>
      <c r="B60" s="89"/>
      <c r="C60" s="84">
        <f>SUM(B60:B60)</f>
        <v>0</v>
      </c>
      <c r="D60" s="85"/>
      <c r="E60" s="85"/>
      <c r="F60" s="85"/>
      <c r="G60" s="85"/>
      <c r="H60" s="85"/>
    </row>
    <row r="61" spans="1:9" ht="13.9" thickTop="1" thickBot="1" x14ac:dyDescent="0.45">
      <c r="A61" s="86" t="s">
        <v>62</v>
      </c>
      <c r="B61" s="87">
        <f>+B58+B59</f>
        <v>-200000</v>
      </c>
      <c r="C61" s="87">
        <f>+C59</f>
        <v>0</v>
      </c>
      <c r="D61" s="88"/>
      <c r="E61" s="88"/>
      <c r="F61" s="88"/>
      <c r="G61" s="88"/>
      <c r="H61" s="88"/>
    </row>
    <row r="62" spans="1:9" ht="13.15" thickTop="1" x14ac:dyDescent="0.35">
      <c r="A62" s="68" t="s">
        <v>63</v>
      </c>
      <c r="B62" s="7">
        <f>+B13</f>
        <v>100000</v>
      </c>
      <c r="C62" s="84"/>
      <c r="D62" s="85"/>
      <c r="E62" s="85"/>
      <c r="F62" s="85"/>
      <c r="G62" s="85"/>
      <c r="H62" s="85"/>
    </row>
    <row r="63" spans="1:9" x14ac:dyDescent="0.35">
      <c r="A63" s="68" t="s">
        <v>64</v>
      </c>
      <c r="B63" s="7">
        <f>+B22</f>
        <v>150000</v>
      </c>
      <c r="C63" s="84"/>
      <c r="D63" s="85"/>
      <c r="E63" s="85"/>
      <c r="F63" s="85"/>
      <c r="G63" s="85"/>
      <c r="H63" s="85"/>
    </row>
    <row r="64" spans="1:9" ht="13.15" thickBot="1" x14ac:dyDescent="0.4">
      <c r="A64" s="68" t="s">
        <v>65</v>
      </c>
      <c r="B64" s="7">
        <f>+B17</f>
        <v>0</v>
      </c>
      <c r="C64" s="84">
        <f>IF(B68+C58+C61+C62+C63&lt;0,-(B68+C58+C61+C62+C63),0)</f>
        <v>0</v>
      </c>
      <c r="D64" s="85"/>
      <c r="E64" s="85"/>
      <c r="F64" s="85"/>
      <c r="G64" s="85"/>
      <c r="H64" s="85"/>
    </row>
    <row r="65" spans="1:9" ht="13.9" thickTop="1" thickBot="1" x14ac:dyDescent="0.45">
      <c r="A65" s="90" t="s">
        <v>66</v>
      </c>
      <c r="B65" s="91">
        <f>+B63+B62</f>
        <v>250000</v>
      </c>
      <c r="C65" s="91">
        <f>+C63+C62</f>
        <v>0</v>
      </c>
      <c r="D65" s="92"/>
      <c r="E65" s="92"/>
      <c r="F65" s="92"/>
      <c r="G65" s="92"/>
      <c r="H65" s="92"/>
    </row>
    <row r="66" spans="1:9" ht="15.75" thickTop="1" thickBot="1" x14ac:dyDescent="0.4">
      <c r="A66" s="93" t="s">
        <v>67</v>
      </c>
      <c r="B66" s="94">
        <f>+B58+B61+B65</f>
        <v>50000</v>
      </c>
      <c r="C66" s="94">
        <f>+C58+C61+C65</f>
        <v>159800</v>
      </c>
      <c r="D66" s="95"/>
      <c r="E66" s="95"/>
      <c r="F66" s="95"/>
      <c r="G66" s="95"/>
      <c r="H66" s="95"/>
    </row>
    <row r="67" spans="1:9" ht="13.9" thickTop="1" thickBot="1" x14ac:dyDescent="0.4">
      <c r="A67" s="96" t="s">
        <v>68</v>
      </c>
      <c r="B67" s="7">
        <v>0</v>
      </c>
      <c r="C67" s="97">
        <f>+B68</f>
        <v>50000</v>
      </c>
      <c r="D67" s="27"/>
      <c r="E67" s="27"/>
      <c r="F67" s="27"/>
      <c r="G67" s="27"/>
      <c r="H67" s="27"/>
    </row>
    <row r="68" spans="1:9" ht="13.9" thickTop="1" thickBot="1" x14ac:dyDescent="0.4">
      <c r="A68" s="98" t="s">
        <v>69</v>
      </c>
      <c r="B68" s="99">
        <f>+B66+B67</f>
        <v>50000</v>
      </c>
      <c r="C68" s="99">
        <f>+C66+C67</f>
        <v>209800</v>
      </c>
      <c r="D68" s="100"/>
      <c r="E68" s="100"/>
      <c r="F68" s="100"/>
      <c r="G68" s="100"/>
      <c r="H68" s="100"/>
    </row>
    <row r="69" spans="1:9" ht="13.15" thickTop="1" x14ac:dyDescent="0.35">
      <c r="D69" s="1"/>
      <c r="E69" s="1"/>
      <c r="F69" s="1"/>
      <c r="G69" s="1"/>
      <c r="H69" s="1"/>
    </row>
    <row r="70" spans="1:9" x14ac:dyDescent="0.35">
      <c r="D70" s="1"/>
      <c r="E70" s="1"/>
      <c r="F70" s="1"/>
      <c r="G70" s="1"/>
      <c r="H70" s="1"/>
    </row>
    <row r="71" spans="1:9" x14ac:dyDescent="0.35">
      <c r="D71" s="1"/>
      <c r="E71" s="1"/>
      <c r="F71" s="1"/>
      <c r="G71" s="1"/>
      <c r="H71" s="1"/>
    </row>
    <row r="72" spans="1:9" x14ac:dyDescent="0.35">
      <c r="C72" s="31"/>
      <c r="D72" s="30"/>
      <c r="E72" s="30"/>
      <c r="F72" s="30"/>
      <c r="G72" s="30"/>
      <c r="H72" s="30"/>
      <c r="I72" s="31"/>
    </row>
  </sheetData>
  <mergeCells count="37">
    <mergeCell ref="A2:I2"/>
    <mergeCell ref="A3:A4"/>
    <mergeCell ref="B3:B4"/>
    <mergeCell ref="C3:C4"/>
    <mergeCell ref="D3:D4"/>
    <mergeCell ref="E3:E4"/>
    <mergeCell ref="F3:F4"/>
    <mergeCell ref="G3:G4"/>
    <mergeCell ref="H3:H4"/>
    <mergeCell ref="I3:I4"/>
    <mergeCell ref="G11:G12"/>
    <mergeCell ref="H11:H12"/>
    <mergeCell ref="I11:I12"/>
    <mergeCell ref="A20:A21"/>
    <mergeCell ref="B20:B21"/>
    <mergeCell ref="C20:C21"/>
    <mergeCell ref="D20:D21"/>
    <mergeCell ref="E20:E21"/>
    <mergeCell ref="F20:F21"/>
    <mergeCell ref="G20:G21"/>
    <mergeCell ref="A11:A12"/>
    <mergeCell ref="B11:B12"/>
    <mergeCell ref="C11:C12"/>
    <mergeCell ref="D11:D12"/>
    <mergeCell ref="E11:E12"/>
    <mergeCell ref="F11:F12"/>
    <mergeCell ref="A51:A52"/>
    <mergeCell ref="B51:B52"/>
    <mergeCell ref="C51:C52"/>
    <mergeCell ref="H20:H21"/>
    <mergeCell ref="I20:I21"/>
    <mergeCell ref="A28:A29"/>
    <mergeCell ref="B28:B29"/>
    <mergeCell ref="C28:F28"/>
    <mergeCell ref="A36:A37"/>
    <mergeCell ref="B36:B37"/>
    <mergeCell ref="C36:C37"/>
  </mergeCells>
  <pageMargins left="0.75" right="0.75" top="0.72" bottom="1" header="0" footer="0"/>
  <pageSetup paperSize="9" orientation="landscape" horizontalDpi="4294967293" r:id="rId1"/>
  <headerFooter alignWithMargins="0"/>
  <rowBreaks count="1" manualBreakCount="1">
    <brk id="26"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8C6FF-AC8C-4185-B5C8-532F9BCE388D}">
  <dimension ref="A1:J72"/>
  <sheetViews>
    <sheetView showZeros="0" zoomScaleNormal="100" zoomScaleSheetLayoutView="100" workbookViewId="0">
      <selection sqref="A1:I1"/>
    </sheetView>
  </sheetViews>
  <sheetFormatPr baseColWidth="10" defaultRowHeight="12.75" x14ac:dyDescent="0.35"/>
  <cols>
    <col min="1" max="1" width="41.265625" customWidth="1"/>
    <col min="2" max="9" width="14.1328125" customWidth="1"/>
    <col min="11" max="11" width="39.73046875" customWidth="1"/>
    <col min="16" max="16" width="10.1328125" customWidth="1"/>
  </cols>
  <sheetData>
    <row r="1" spans="1:9" ht="215.65" customHeight="1" thickBot="1" x14ac:dyDescent="0.4">
      <c r="A1" s="347" t="s">
        <v>122</v>
      </c>
      <c r="B1" s="348"/>
      <c r="C1" s="348"/>
      <c r="D1" s="348"/>
      <c r="E1" s="348"/>
      <c r="F1" s="348"/>
      <c r="G1" s="348"/>
      <c r="H1" s="348"/>
      <c r="I1" s="348"/>
    </row>
    <row r="2" spans="1:9" ht="18" thickTop="1" thickBot="1" x14ac:dyDescent="0.5">
      <c r="A2" s="336" t="s">
        <v>0</v>
      </c>
      <c r="B2" s="337"/>
      <c r="C2" s="337"/>
      <c r="D2" s="337"/>
      <c r="E2" s="337"/>
      <c r="F2" s="337"/>
      <c r="G2" s="337"/>
      <c r="H2" s="337"/>
      <c r="I2" s="338"/>
    </row>
    <row r="3" spans="1:9" ht="13.5" customHeight="1" thickTop="1" x14ac:dyDescent="0.35">
      <c r="A3" s="339" t="s">
        <v>1</v>
      </c>
      <c r="B3" s="341" t="s">
        <v>2</v>
      </c>
      <c r="C3" s="343">
        <v>1</v>
      </c>
      <c r="D3" s="343">
        <f>+C3+1</f>
        <v>2</v>
      </c>
      <c r="E3" s="343">
        <f>+D3+1</f>
        <v>3</v>
      </c>
      <c r="F3" s="343">
        <f>+E3+1</f>
        <v>4</v>
      </c>
      <c r="G3" s="343">
        <f>+F3+1</f>
        <v>5</v>
      </c>
      <c r="H3" s="343">
        <f>+G3+1</f>
        <v>6</v>
      </c>
      <c r="I3" s="345" t="s">
        <v>3</v>
      </c>
    </row>
    <row r="4" spans="1:9" ht="13.5" customHeight="1" thickBot="1" x14ac:dyDescent="0.4">
      <c r="A4" s="340"/>
      <c r="B4" s="342"/>
      <c r="C4" s="344"/>
      <c r="D4" s="344"/>
      <c r="E4" s="344"/>
      <c r="F4" s="344"/>
      <c r="G4" s="344"/>
      <c r="H4" s="344"/>
      <c r="I4" s="346"/>
    </row>
    <row r="5" spans="1:9" ht="13.15" thickTop="1" x14ac:dyDescent="0.35">
      <c r="A5" s="2" t="s">
        <v>4</v>
      </c>
      <c r="B5" s="3">
        <v>200000</v>
      </c>
      <c r="C5" s="4"/>
      <c r="D5" s="5"/>
      <c r="E5" s="5"/>
      <c r="F5" s="6">
        <f>IF($D$44=1,B44,0)</f>
        <v>-20000</v>
      </c>
      <c r="G5" s="5"/>
      <c r="H5" s="5"/>
      <c r="I5" s="3">
        <f>SUM(B5:H5)</f>
        <v>180000</v>
      </c>
    </row>
    <row r="6" spans="1:9" x14ac:dyDescent="0.35">
      <c r="A6" s="2" t="s">
        <v>5</v>
      </c>
      <c r="B6" s="7">
        <v>0</v>
      </c>
      <c r="C6" s="4"/>
      <c r="D6" s="285">
        <v>59215</v>
      </c>
      <c r="E6" s="6"/>
      <c r="F6" s="6"/>
      <c r="G6" s="6"/>
      <c r="H6" s="6"/>
      <c r="I6" s="7">
        <f>SUM(B6:H6)</f>
        <v>59215</v>
      </c>
    </row>
    <row r="7" spans="1:9" x14ac:dyDescent="0.35">
      <c r="A7" s="2" t="s">
        <v>6</v>
      </c>
      <c r="B7" s="7">
        <v>0</v>
      </c>
      <c r="C7" s="284">
        <v>100000</v>
      </c>
      <c r="D7" s="6"/>
      <c r="E7" s="6"/>
      <c r="F7" s="6"/>
      <c r="G7" s="6"/>
      <c r="H7" s="6"/>
      <c r="I7" s="7">
        <f>SUM(B7:H7)</f>
        <v>100000</v>
      </c>
    </row>
    <row r="8" spans="1:9" ht="13.15" thickBot="1" x14ac:dyDescent="0.4">
      <c r="A8" s="2" t="s">
        <v>7</v>
      </c>
      <c r="B8" s="7">
        <f>+B66</f>
        <v>50000</v>
      </c>
      <c r="C8" s="284">
        <f>IF($D$38=1,C53,0)</f>
        <v>1300000</v>
      </c>
      <c r="D8" s="285">
        <v>-865740</v>
      </c>
      <c r="E8" s="6">
        <f>IF($D$42=1,C55,0)</f>
        <v>-350000</v>
      </c>
      <c r="G8" s="6">
        <f>IF($D$46=1,C56,0)</f>
        <v>-5000</v>
      </c>
      <c r="H8" s="6">
        <f>IF($D$48=1,C57,0)</f>
        <v>-46600</v>
      </c>
      <c r="I8" s="7">
        <f>SUM(B8:H8)</f>
        <v>82660</v>
      </c>
    </row>
    <row r="9" spans="1:9" ht="15.75" thickTop="1" thickBot="1" x14ac:dyDescent="0.4">
      <c r="A9" s="8" t="s">
        <v>8</v>
      </c>
      <c r="B9" s="9">
        <f t="shared" ref="B9:I9" si="0">SUM(B5:B8)</f>
        <v>250000</v>
      </c>
      <c r="C9" s="10">
        <f t="shared" si="0"/>
        <v>1400000</v>
      </c>
      <c r="D9" s="10">
        <f t="shared" si="0"/>
        <v>-806525</v>
      </c>
      <c r="E9" s="10">
        <f t="shared" si="0"/>
        <v>-350000</v>
      </c>
      <c r="F9" s="10">
        <f t="shared" si="0"/>
        <v>-20000</v>
      </c>
      <c r="G9" s="10">
        <f t="shared" si="0"/>
        <v>-5000</v>
      </c>
      <c r="H9" s="10">
        <f t="shared" si="0"/>
        <v>-46600</v>
      </c>
      <c r="I9" s="9">
        <f t="shared" si="0"/>
        <v>421875</v>
      </c>
    </row>
    <row r="10" spans="1:9" ht="5.0999999999999996" customHeight="1" thickTop="1" thickBot="1" x14ac:dyDescent="0.45">
      <c r="A10" s="11"/>
      <c r="B10" s="12"/>
      <c r="C10" s="12"/>
      <c r="D10" s="12"/>
      <c r="E10" s="12"/>
      <c r="F10" s="12"/>
      <c r="G10" s="12"/>
      <c r="H10" s="12"/>
      <c r="I10" s="13"/>
    </row>
    <row r="11" spans="1:9" ht="13.5" customHeight="1" thickTop="1" x14ac:dyDescent="0.35">
      <c r="A11" s="332" t="s">
        <v>9</v>
      </c>
      <c r="B11" s="326" t="str">
        <f t="shared" ref="B11:I11" si="1">+B3</f>
        <v>BALANCE INICIAL</v>
      </c>
      <c r="C11" s="334">
        <f t="shared" si="1"/>
        <v>1</v>
      </c>
      <c r="D11" s="324">
        <f t="shared" si="1"/>
        <v>2</v>
      </c>
      <c r="E11" s="324">
        <f t="shared" si="1"/>
        <v>3</v>
      </c>
      <c r="F11" s="324">
        <f t="shared" si="1"/>
        <v>4</v>
      </c>
      <c r="G11" s="324">
        <f t="shared" si="1"/>
        <v>5</v>
      </c>
      <c r="H11" s="324">
        <f t="shared" si="1"/>
        <v>6</v>
      </c>
      <c r="I11" s="326" t="str">
        <f t="shared" si="1"/>
        <v>BALANCE FINAL</v>
      </c>
    </row>
    <row r="12" spans="1:9" ht="13.15" thickBot="1" x14ac:dyDescent="0.4">
      <c r="A12" s="333"/>
      <c r="B12" s="327"/>
      <c r="C12" s="335"/>
      <c r="D12" s="325"/>
      <c r="E12" s="325"/>
      <c r="F12" s="325"/>
      <c r="G12" s="325"/>
      <c r="H12" s="325"/>
      <c r="I12" s="327"/>
    </row>
    <row r="13" spans="1:9" ht="13.15" thickTop="1" x14ac:dyDescent="0.35">
      <c r="A13" s="14" t="s">
        <v>10</v>
      </c>
      <c r="B13" s="3">
        <f>IF(B$25=0,0,100000)</f>
        <v>100000</v>
      </c>
      <c r="C13" s="15"/>
      <c r="D13" s="5"/>
      <c r="E13" s="5"/>
      <c r="F13" s="5"/>
      <c r="G13" s="5"/>
      <c r="H13" s="5"/>
      <c r="I13" s="7">
        <f>SUM(B13:H13)</f>
        <v>100000</v>
      </c>
    </row>
    <row r="14" spans="1:9" x14ac:dyDescent="0.35">
      <c r="A14" s="2" t="s">
        <v>11</v>
      </c>
      <c r="B14" s="7"/>
      <c r="C14" s="4"/>
      <c r="D14" s="285">
        <v>32075</v>
      </c>
      <c r="E14" s="6"/>
      <c r="F14" s="6"/>
      <c r="G14" s="6"/>
      <c r="H14" s="6"/>
      <c r="I14" s="7">
        <f>SUM(B14:H14)</f>
        <v>32075</v>
      </c>
    </row>
    <row r="15" spans="1:9" x14ac:dyDescent="0.35">
      <c r="A15" s="2" t="s">
        <v>12</v>
      </c>
      <c r="B15" s="7"/>
      <c r="C15" s="4"/>
      <c r="D15" s="6"/>
      <c r="E15" s="6"/>
      <c r="F15" s="6"/>
      <c r="G15" s="6"/>
      <c r="H15" s="6"/>
      <c r="I15" s="7">
        <f>SUM(B15:H15)</f>
        <v>0</v>
      </c>
    </row>
    <row r="16" spans="1:9" x14ac:dyDescent="0.35">
      <c r="A16" s="2" t="s">
        <v>13</v>
      </c>
      <c r="B16" s="7"/>
      <c r="C16" s="4"/>
      <c r="D16" s="6"/>
      <c r="E16" s="6"/>
      <c r="F16" s="6"/>
      <c r="G16" s="6"/>
      <c r="H16" s="6"/>
      <c r="I16" s="7">
        <f>SUM(B16:H16)</f>
        <v>0</v>
      </c>
    </row>
    <row r="17" spans="1:10" ht="13.15" thickBot="1" x14ac:dyDescent="0.4">
      <c r="A17" s="2" t="s">
        <v>14</v>
      </c>
      <c r="B17" s="7"/>
      <c r="C17" s="4"/>
      <c r="D17" s="16"/>
      <c r="E17" s="16"/>
      <c r="F17" s="16"/>
      <c r="G17" s="16"/>
      <c r="H17" s="16"/>
      <c r="I17" s="7">
        <f>SUM(B17:H17)</f>
        <v>0</v>
      </c>
    </row>
    <row r="18" spans="1:10" ht="13.9" thickTop="1" thickBot="1" x14ac:dyDescent="0.45">
      <c r="A18" s="17" t="s">
        <v>15</v>
      </c>
      <c r="B18" s="18">
        <f t="shared" ref="B18:I18" si="2">SUM(B13:B17)</f>
        <v>100000</v>
      </c>
      <c r="C18" s="18">
        <f t="shared" si="2"/>
        <v>0</v>
      </c>
      <c r="D18" s="18">
        <f t="shared" si="2"/>
        <v>32075</v>
      </c>
      <c r="E18" s="18">
        <f t="shared" si="2"/>
        <v>0</v>
      </c>
      <c r="F18" s="18">
        <f t="shared" si="2"/>
        <v>0</v>
      </c>
      <c r="G18" s="18">
        <f t="shared" si="2"/>
        <v>0</v>
      </c>
      <c r="H18" s="18">
        <f t="shared" si="2"/>
        <v>0</v>
      </c>
      <c r="I18" s="18">
        <f t="shared" si="2"/>
        <v>132075</v>
      </c>
    </row>
    <row r="19" spans="1:10" ht="5.0999999999999996" customHeight="1" thickTop="1" thickBot="1" x14ac:dyDescent="0.45">
      <c r="A19" s="19"/>
      <c r="B19" s="20"/>
      <c r="C19" s="20"/>
      <c r="D19" s="20"/>
      <c r="E19" s="20"/>
      <c r="F19" s="20"/>
      <c r="G19" s="20"/>
      <c r="H19" s="20"/>
      <c r="I19" s="21"/>
    </row>
    <row r="20" spans="1:10" ht="13.15" thickTop="1" x14ac:dyDescent="0.35">
      <c r="A20" s="328" t="s">
        <v>16</v>
      </c>
      <c r="B20" s="311" t="s">
        <v>2</v>
      </c>
      <c r="C20" s="330">
        <f t="shared" ref="C20:H20" si="3">+C11</f>
        <v>1</v>
      </c>
      <c r="D20" s="309">
        <f t="shared" si="3"/>
        <v>2</v>
      </c>
      <c r="E20" s="309">
        <f t="shared" si="3"/>
        <v>3</v>
      </c>
      <c r="F20" s="309">
        <f t="shared" si="3"/>
        <v>4</v>
      </c>
      <c r="G20" s="309">
        <f t="shared" si="3"/>
        <v>5</v>
      </c>
      <c r="H20" s="309">
        <f t="shared" si="3"/>
        <v>6</v>
      </c>
      <c r="I20" s="311" t="s">
        <v>3</v>
      </c>
    </row>
    <row r="21" spans="1:10" ht="13.15" thickBot="1" x14ac:dyDescent="0.4">
      <c r="A21" s="329"/>
      <c r="B21" s="312"/>
      <c r="C21" s="331"/>
      <c r="D21" s="310"/>
      <c r="E21" s="310"/>
      <c r="F21" s="310"/>
      <c r="G21" s="310"/>
      <c r="H21" s="310"/>
      <c r="I21" s="312"/>
    </row>
    <row r="22" spans="1:10" ht="13.15" thickTop="1" x14ac:dyDescent="0.35">
      <c r="A22" s="14" t="s">
        <v>17</v>
      </c>
      <c r="B22" s="3">
        <f>IF(B$25=0,0,150000)</f>
        <v>150000</v>
      </c>
      <c r="C22" s="15"/>
      <c r="D22" s="5"/>
      <c r="E22" s="5"/>
      <c r="F22" s="5"/>
      <c r="G22" s="5"/>
      <c r="H22" s="5"/>
      <c r="I22" s="3">
        <f>SUM(B22:H22)</f>
        <v>150000</v>
      </c>
    </row>
    <row r="23" spans="1:10" ht="13.15" thickBot="1" x14ac:dyDescent="0.4">
      <c r="A23" s="22" t="s">
        <v>18</v>
      </c>
      <c r="B23" s="7"/>
      <c r="C23" s="4">
        <f>IF($D$38=1,B38,0)</f>
        <v>1400000</v>
      </c>
      <c r="D23" s="16">
        <f>IF($D$40=1,B40,0)</f>
        <v>-838600</v>
      </c>
      <c r="E23" s="6">
        <f>IF($D$42=1,B42,0)</f>
        <v>-350000</v>
      </c>
      <c r="F23" s="6">
        <f>IF($D$44=1,B44,0)</f>
        <v>-20000</v>
      </c>
      <c r="G23" s="6">
        <f>IF($D$46=1,B46,0)</f>
        <v>-5000</v>
      </c>
      <c r="H23" s="6">
        <f>IF($D$48=1,B48,0)</f>
        <v>-46600</v>
      </c>
      <c r="I23" s="7">
        <f>SUM(B23:H23)</f>
        <v>139800</v>
      </c>
    </row>
    <row r="24" spans="1:10" ht="15.75" thickTop="1" thickBot="1" x14ac:dyDescent="0.4">
      <c r="A24" s="23" t="s">
        <v>19</v>
      </c>
      <c r="B24" s="24">
        <f t="shared" ref="B24:I24" si="4">SUM(B22:B23)</f>
        <v>150000</v>
      </c>
      <c r="C24" s="24">
        <f t="shared" si="4"/>
        <v>1400000</v>
      </c>
      <c r="D24" s="24">
        <f t="shared" si="4"/>
        <v>-838600</v>
      </c>
      <c r="E24" s="24">
        <f t="shared" si="4"/>
        <v>-350000</v>
      </c>
      <c r="F24" s="24">
        <f t="shared" si="4"/>
        <v>-20000</v>
      </c>
      <c r="G24" s="24">
        <f t="shared" si="4"/>
        <v>-5000</v>
      </c>
      <c r="H24" s="24">
        <f t="shared" si="4"/>
        <v>-46600</v>
      </c>
      <c r="I24" s="24">
        <f t="shared" si="4"/>
        <v>289800</v>
      </c>
    </row>
    <row r="25" spans="1:10" ht="15.4" thickTop="1" x14ac:dyDescent="0.35">
      <c r="A25" s="25"/>
      <c r="B25" s="26">
        <v>1</v>
      </c>
      <c r="C25" s="27"/>
      <c r="D25" s="27"/>
      <c r="E25" s="27"/>
      <c r="F25" s="27"/>
      <c r="G25" s="27"/>
      <c r="H25" s="27"/>
      <c r="I25" s="27"/>
      <c r="J25" s="1"/>
    </row>
    <row r="26" spans="1:10" x14ac:dyDescent="0.35">
      <c r="A26" s="28" t="s">
        <v>20</v>
      </c>
      <c r="B26" s="29">
        <f t="shared" ref="B26:I26" si="5">+B9-B18-B24</f>
        <v>0</v>
      </c>
      <c r="C26" s="29">
        <f t="shared" si="5"/>
        <v>0</v>
      </c>
      <c r="D26" s="29">
        <f t="shared" si="5"/>
        <v>0</v>
      </c>
      <c r="E26" s="29">
        <f t="shared" si="5"/>
        <v>0</v>
      </c>
      <c r="F26" s="29">
        <f t="shared" si="5"/>
        <v>0</v>
      </c>
      <c r="G26" s="29">
        <f t="shared" si="5"/>
        <v>0</v>
      </c>
      <c r="H26" s="29">
        <f t="shared" si="5"/>
        <v>0</v>
      </c>
      <c r="I26" s="29">
        <f t="shared" si="5"/>
        <v>0</v>
      </c>
    </row>
    <row r="27" spans="1:10" ht="23.25" customHeight="1" x14ac:dyDescent="0.35">
      <c r="B27" s="30">
        <f>+B9-B18-B24</f>
        <v>0</v>
      </c>
      <c r="C27" s="31"/>
      <c r="D27" s="31"/>
      <c r="E27" s="31"/>
      <c r="F27" s="32"/>
      <c r="G27" s="33"/>
      <c r="H27" s="34"/>
      <c r="I27" s="34"/>
    </row>
    <row r="28" spans="1:10" ht="15" customHeight="1" x14ac:dyDescent="0.35">
      <c r="A28" s="313"/>
      <c r="B28" s="315" t="s">
        <v>21</v>
      </c>
      <c r="C28" s="317" t="s">
        <v>22</v>
      </c>
      <c r="D28" s="317"/>
      <c r="E28" s="317"/>
      <c r="F28" s="317"/>
      <c r="G28" s="33"/>
      <c r="H28" s="34"/>
      <c r="I28" s="34"/>
    </row>
    <row r="29" spans="1:10" ht="15" customHeight="1" x14ac:dyDescent="0.35">
      <c r="A29" s="314"/>
      <c r="B29" s="316"/>
      <c r="C29" s="35" t="s">
        <v>23</v>
      </c>
      <c r="D29" s="35" t="s">
        <v>24</v>
      </c>
      <c r="E29" s="35" t="s">
        <v>25</v>
      </c>
      <c r="F29" s="35" t="s">
        <v>26</v>
      </c>
      <c r="G29" s="33"/>
      <c r="H29" s="34"/>
      <c r="I29" s="34"/>
    </row>
    <row r="30" spans="1:10" ht="15" customHeight="1" x14ac:dyDescent="0.4">
      <c r="A30" s="36" t="s">
        <v>27</v>
      </c>
      <c r="B30" s="37">
        <v>1400000</v>
      </c>
      <c r="C30" s="38">
        <f>+$B$30*C31</f>
        <v>489999.99999999994</v>
      </c>
      <c r="D30" s="38">
        <f>+$B$30*D31</f>
        <v>630000</v>
      </c>
      <c r="E30" s="38">
        <f>+$B$30*E31</f>
        <v>70000</v>
      </c>
      <c r="F30" s="39">
        <f>+$B$30*F31</f>
        <v>210000.00000000003</v>
      </c>
      <c r="G30" s="33"/>
      <c r="H30" s="34"/>
      <c r="I30" s="34"/>
    </row>
    <row r="31" spans="1:10" ht="15" customHeight="1" x14ac:dyDescent="0.35">
      <c r="A31" s="40" t="s">
        <v>28</v>
      </c>
      <c r="B31" s="41">
        <f>SUM(C31:F31)</f>
        <v>1</v>
      </c>
      <c r="C31" s="42">
        <v>0.35</v>
      </c>
      <c r="D31" s="42">
        <v>0.45</v>
      </c>
      <c r="E31" s="42">
        <v>0.05</v>
      </c>
      <c r="F31" s="43">
        <f>1-C31-D31-E31</f>
        <v>0.15000000000000002</v>
      </c>
      <c r="G31" s="33"/>
      <c r="H31" s="34"/>
      <c r="I31" s="34"/>
    </row>
    <row r="32" spans="1:10" ht="15" customHeight="1" x14ac:dyDescent="0.35">
      <c r="A32" s="44" t="s">
        <v>29</v>
      </c>
      <c r="B32" s="45">
        <f>-SUM(C32:F32)</f>
        <v>-838600</v>
      </c>
      <c r="C32" s="46">
        <f>+C30*(1-C34)</f>
        <v>284200</v>
      </c>
      <c r="D32" s="46">
        <f>+D30*(1-D34)</f>
        <v>384300</v>
      </c>
      <c r="E32" s="46">
        <f>+E30*(1-E34)</f>
        <v>23099.999999999996</v>
      </c>
      <c r="F32" s="46">
        <f>+F30*(1-F34)</f>
        <v>147000</v>
      </c>
      <c r="G32" s="33"/>
      <c r="H32" s="34"/>
      <c r="I32" s="34"/>
    </row>
    <row r="33" spans="1:9" ht="15" customHeight="1" x14ac:dyDescent="0.4">
      <c r="A33" s="47" t="s">
        <v>30</v>
      </c>
      <c r="B33" s="48">
        <f>SUM(C33:F33)</f>
        <v>561400</v>
      </c>
      <c r="C33" s="49">
        <f>+C30-C32</f>
        <v>205799.99999999994</v>
      </c>
      <c r="D33" s="49">
        <f>+D30-D32</f>
        <v>245700</v>
      </c>
      <c r="E33" s="49">
        <f>+E30-E32</f>
        <v>46900</v>
      </c>
      <c r="F33" s="49">
        <f>+F30-F32</f>
        <v>63000.000000000029</v>
      </c>
      <c r="G33" s="33"/>
      <c r="H33" s="34"/>
      <c r="I33" s="34"/>
    </row>
    <row r="34" spans="1:9" ht="15" customHeight="1" x14ac:dyDescent="0.4">
      <c r="A34" s="50" t="s">
        <v>31</v>
      </c>
      <c r="B34" s="51">
        <f>+B33/B30</f>
        <v>0.40100000000000002</v>
      </c>
      <c r="C34" s="52">
        <v>0.42</v>
      </c>
      <c r="D34" s="52">
        <v>0.39</v>
      </c>
      <c r="E34" s="52">
        <v>0.67</v>
      </c>
      <c r="F34" s="53">
        <v>0.3</v>
      </c>
      <c r="G34" s="33"/>
      <c r="H34" s="34"/>
      <c r="I34" s="34"/>
    </row>
    <row r="35" spans="1:9" ht="23.25" customHeight="1" thickBot="1" x14ac:dyDescent="0.4">
      <c r="B35" s="30"/>
      <c r="C35" s="31"/>
      <c r="D35" s="31"/>
      <c r="E35" s="31"/>
      <c r="F35" s="32"/>
      <c r="G35" s="33"/>
      <c r="H35" s="34"/>
      <c r="I35" s="34"/>
    </row>
    <row r="36" spans="1:9" ht="13.5" customHeight="1" thickTop="1" x14ac:dyDescent="0.35">
      <c r="A36" s="318" t="s">
        <v>32</v>
      </c>
      <c r="B36" s="320" t="s">
        <v>33</v>
      </c>
      <c r="C36" s="322" t="s">
        <v>34</v>
      </c>
      <c r="D36" s="54"/>
      <c r="E36" s="54"/>
      <c r="H36" s="55"/>
      <c r="I36" s="55"/>
    </row>
    <row r="37" spans="1:9" ht="15" customHeight="1" thickBot="1" x14ac:dyDescent="0.4">
      <c r="A37" s="319"/>
      <c r="B37" s="321"/>
      <c r="C37" s="323"/>
    </row>
    <row r="38" spans="1:9" ht="13.5" thickTop="1" x14ac:dyDescent="0.4">
      <c r="A38" s="56" t="s">
        <v>35</v>
      </c>
      <c r="B38" s="57">
        <f>IF($D38=1,B30,0)</f>
        <v>1400000</v>
      </c>
      <c r="C38" s="58">
        <f t="shared" ref="C38:C49" si="6">+B38/$B$38</f>
        <v>1</v>
      </c>
      <c r="D38" s="26">
        <v>1</v>
      </c>
      <c r="E38" s="59" t="s">
        <v>36</v>
      </c>
    </row>
    <row r="39" spans="1:9" ht="18" customHeight="1" thickBot="1" x14ac:dyDescent="0.45">
      <c r="A39" s="60" t="s">
        <v>37</v>
      </c>
      <c r="B39" s="61">
        <f>+B38</f>
        <v>1400000</v>
      </c>
      <c r="C39" s="62">
        <f t="shared" si="6"/>
        <v>1</v>
      </c>
    </row>
    <row r="40" spans="1:9" ht="18" customHeight="1" thickTop="1" x14ac:dyDescent="0.35">
      <c r="A40" s="63" t="s">
        <v>38</v>
      </c>
      <c r="B40" s="57">
        <f>IF($D40=1,B32,0)</f>
        <v>-838600</v>
      </c>
      <c r="C40" s="64">
        <f t="shared" si="6"/>
        <v>-0.59899999999999998</v>
      </c>
      <c r="D40" s="26">
        <v>1</v>
      </c>
      <c r="E40" s="59" t="s">
        <v>39</v>
      </c>
    </row>
    <row r="41" spans="1:9" ht="18" customHeight="1" x14ac:dyDescent="0.4">
      <c r="A41" s="65" t="s">
        <v>40</v>
      </c>
      <c r="B41" s="66">
        <f>+B38+B40</f>
        <v>561400</v>
      </c>
      <c r="C41" s="67">
        <f t="shared" si="6"/>
        <v>0.40100000000000002</v>
      </c>
    </row>
    <row r="42" spans="1:9" ht="18" customHeight="1" x14ac:dyDescent="0.35">
      <c r="A42" s="68" t="s">
        <v>41</v>
      </c>
      <c r="B42" s="69">
        <f>IF($D42=1,-350000,0)</f>
        <v>-350000</v>
      </c>
      <c r="C42" s="70">
        <f t="shared" si="6"/>
        <v>-0.25</v>
      </c>
      <c r="D42" s="26">
        <v>1</v>
      </c>
      <c r="E42" s="59" t="s">
        <v>42</v>
      </c>
    </row>
    <row r="43" spans="1:9" ht="18" customHeight="1" x14ac:dyDescent="0.4">
      <c r="A43" s="71" t="s">
        <v>43</v>
      </c>
      <c r="B43" s="72">
        <f>+B41+B42</f>
        <v>211400</v>
      </c>
      <c r="C43" s="67">
        <f t="shared" si="6"/>
        <v>0.151</v>
      </c>
      <c r="F43" s="73"/>
      <c r="G43" s="73"/>
      <c r="H43" s="73"/>
    </row>
    <row r="44" spans="1:9" ht="18" customHeight="1" x14ac:dyDescent="0.35">
      <c r="A44" s="68" t="s">
        <v>44</v>
      </c>
      <c r="B44" s="69">
        <f>IF($D44=1,-B5/10,0)</f>
        <v>-20000</v>
      </c>
      <c r="C44" s="70">
        <f t="shared" si="6"/>
        <v>-1.4285714285714285E-2</v>
      </c>
      <c r="D44" s="26">
        <v>1</v>
      </c>
      <c r="E44" s="59" t="s">
        <v>45</v>
      </c>
      <c r="F44" s="74"/>
      <c r="G44" s="74"/>
      <c r="H44" s="74"/>
    </row>
    <row r="45" spans="1:9" ht="18" customHeight="1" x14ac:dyDescent="0.4">
      <c r="A45" s="71" t="s">
        <v>46</v>
      </c>
      <c r="B45" s="72">
        <f>+B43+B44</f>
        <v>191400</v>
      </c>
      <c r="C45" s="67">
        <f t="shared" si="6"/>
        <v>0.1367142857142857</v>
      </c>
      <c r="F45" s="73"/>
      <c r="G45" s="73"/>
      <c r="H45" s="73"/>
    </row>
    <row r="46" spans="1:9" ht="18" customHeight="1" x14ac:dyDescent="0.35">
      <c r="A46" s="75" t="s">
        <v>47</v>
      </c>
      <c r="B46" s="69">
        <f>IF($D46=1,-B13*0.05,0)</f>
        <v>-5000</v>
      </c>
      <c r="C46" s="70">
        <f t="shared" si="6"/>
        <v>-3.5714285714285713E-3</v>
      </c>
      <c r="D46" s="26">
        <v>1</v>
      </c>
      <c r="E46" s="59" t="s">
        <v>48</v>
      </c>
      <c r="F46" s="74"/>
      <c r="G46" s="74"/>
      <c r="H46" s="74"/>
    </row>
    <row r="47" spans="1:9" ht="18" customHeight="1" x14ac:dyDescent="0.4">
      <c r="A47" s="71" t="s">
        <v>49</v>
      </c>
      <c r="B47" s="72">
        <f>+B45+B46</f>
        <v>186400</v>
      </c>
      <c r="C47" s="67">
        <f t="shared" si="6"/>
        <v>0.13314285714285715</v>
      </c>
      <c r="F47" s="73"/>
      <c r="G47" s="73"/>
      <c r="H47" s="73"/>
    </row>
    <row r="48" spans="1:9" ht="18" customHeight="1" x14ac:dyDescent="0.35">
      <c r="A48" s="68" t="s">
        <v>50</v>
      </c>
      <c r="B48" s="69">
        <f>IF($D48=1,-B47*0.25,0)</f>
        <v>-46600</v>
      </c>
      <c r="C48" s="70">
        <f t="shared" si="6"/>
        <v>-3.3285714285714287E-2</v>
      </c>
      <c r="D48" s="26">
        <v>1</v>
      </c>
      <c r="E48" s="59" t="s">
        <v>51</v>
      </c>
      <c r="F48" s="74"/>
      <c r="G48" s="74"/>
      <c r="H48" s="74"/>
    </row>
    <row r="49" spans="1:9" ht="18" customHeight="1" x14ac:dyDescent="0.35">
      <c r="A49" s="76" t="s">
        <v>52</v>
      </c>
      <c r="B49" s="77">
        <f>+B47+B48</f>
        <v>139800</v>
      </c>
      <c r="C49" s="78">
        <f t="shared" si="6"/>
        <v>9.9857142857142853E-2</v>
      </c>
      <c r="D49" s="79"/>
      <c r="E49" s="79"/>
      <c r="F49" s="79"/>
      <c r="G49" s="79"/>
      <c r="H49" s="79"/>
    </row>
    <row r="50" spans="1:9" ht="18" customHeight="1" thickBot="1" x14ac:dyDescent="0.4">
      <c r="D50" s="1"/>
      <c r="E50" s="1"/>
      <c r="F50" s="1"/>
      <c r="G50" s="1"/>
      <c r="H50" s="1"/>
    </row>
    <row r="51" spans="1:9" ht="13.15" thickTop="1" x14ac:dyDescent="0.35">
      <c r="A51" s="303" t="s">
        <v>53</v>
      </c>
      <c r="B51" s="305" t="s">
        <v>54</v>
      </c>
      <c r="C51" s="307" t="s">
        <v>53</v>
      </c>
      <c r="D51" s="54"/>
      <c r="E51" s="54"/>
      <c r="F51" s="54"/>
      <c r="G51" s="54"/>
      <c r="H51" s="54"/>
      <c r="I51" s="31"/>
    </row>
    <row r="52" spans="1:9" ht="13.15" thickBot="1" x14ac:dyDescent="0.4">
      <c r="A52" s="304"/>
      <c r="B52" s="306"/>
      <c r="C52" s="308"/>
      <c r="D52" s="54"/>
      <c r="E52" s="54"/>
      <c r="F52" s="54"/>
      <c r="G52" s="54"/>
      <c r="H52" s="54"/>
    </row>
    <row r="53" spans="1:9" ht="16.5" customHeight="1" thickTop="1" x14ac:dyDescent="0.35">
      <c r="A53" s="80" t="s">
        <v>55</v>
      </c>
      <c r="B53" s="81">
        <v>0</v>
      </c>
      <c r="C53" s="181">
        <v>1300000</v>
      </c>
      <c r="D53" s="83"/>
      <c r="E53" s="83"/>
      <c r="F53" s="83"/>
      <c r="G53" s="83"/>
      <c r="H53" s="83"/>
    </row>
    <row r="54" spans="1:9" x14ac:dyDescent="0.35">
      <c r="A54" s="75" t="s">
        <v>56</v>
      </c>
      <c r="B54" s="7">
        <v>0</v>
      </c>
      <c r="C54" s="286">
        <v>-865740</v>
      </c>
      <c r="D54" s="85"/>
      <c r="E54" s="85"/>
      <c r="F54" s="85"/>
      <c r="G54" s="85"/>
      <c r="H54" s="85"/>
    </row>
    <row r="55" spans="1:9" x14ac:dyDescent="0.35">
      <c r="A55" s="68" t="s">
        <v>57</v>
      </c>
      <c r="B55" s="7">
        <v>0</v>
      </c>
      <c r="C55" s="84">
        <f>+B42</f>
        <v>-350000</v>
      </c>
      <c r="D55" s="85"/>
      <c r="E55" s="85"/>
      <c r="F55" s="85"/>
      <c r="G55" s="85"/>
      <c r="H55" s="85"/>
    </row>
    <row r="56" spans="1:9" x14ac:dyDescent="0.35">
      <c r="A56" s="68" t="s">
        <v>58</v>
      </c>
      <c r="B56" s="7"/>
      <c r="C56" s="84">
        <f>+B46</f>
        <v>-5000</v>
      </c>
      <c r="D56" s="85"/>
      <c r="E56" s="85"/>
      <c r="F56" s="85"/>
      <c r="G56" s="85"/>
      <c r="H56" s="85"/>
    </row>
    <row r="57" spans="1:9" ht="13.15" thickBot="1" x14ac:dyDescent="0.4">
      <c r="A57" s="68" t="s">
        <v>59</v>
      </c>
      <c r="B57" s="7"/>
      <c r="C57" s="84">
        <f>+B48</f>
        <v>-46600</v>
      </c>
      <c r="D57" s="85"/>
      <c r="E57" s="85"/>
      <c r="F57" s="85"/>
      <c r="G57" s="85"/>
      <c r="H57" s="85"/>
    </row>
    <row r="58" spans="1:9" ht="13.9" thickTop="1" thickBot="1" x14ac:dyDescent="0.45">
      <c r="A58" s="86" t="s">
        <v>60</v>
      </c>
      <c r="B58" s="87">
        <f>SUM(B53:B57)</f>
        <v>0</v>
      </c>
      <c r="C58" s="87">
        <f>SUM(C53:C57)</f>
        <v>32660</v>
      </c>
      <c r="D58" s="88"/>
      <c r="E58" s="88"/>
      <c r="F58" s="88"/>
      <c r="G58" s="88"/>
      <c r="H58" s="88"/>
    </row>
    <row r="59" spans="1:9" ht="13.15" thickTop="1" x14ac:dyDescent="0.35">
      <c r="A59" s="75" t="s">
        <v>61</v>
      </c>
      <c r="B59" s="3">
        <f>-B5</f>
        <v>-200000</v>
      </c>
      <c r="C59" s="57"/>
      <c r="D59" s="85"/>
      <c r="E59" s="85"/>
      <c r="F59" s="85"/>
      <c r="G59" s="85"/>
      <c r="H59" s="85"/>
    </row>
    <row r="60" spans="1:9" ht="13.15" thickBot="1" x14ac:dyDescent="0.4">
      <c r="A60" s="75"/>
      <c r="B60" s="89"/>
      <c r="C60" s="84">
        <f>SUM(B60:B60)</f>
        <v>0</v>
      </c>
      <c r="D60" s="85"/>
      <c r="E60" s="85"/>
      <c r="F60" s="85"/>
      <c r="G60" s="85"/>
      <c r="H60" s="85"/>
    </row>
    <row r="61" spans="1:9" ht="13.9" thickTop="1" thickBot="1" x14ac:dyDescent="0.45">
      <c r="A61" s="86" t="s">
        <v>62</v>
      </c>
      <c r="B61" s="87">
        <f>+B58+B59</f>
        <v>-200000</v>
      </c>
      <c r="C61" s="87">
        <f>+C59</f>
        <v>0</v>
      </c>
      <c r="D61" s="88"/>
      <c r="E61" s="88"/>
      <c r="F61" s="88"/>
      <c r="G61" s="88"/>
      <c r="H61" s="88"/>
    </row>
    <row r="62" spans="1:9" ht="13.15" thickTop="1" x14ac:dyDescent="0.35">
      <c r="A62" s="68" t="s">
        <v>63</v>
      </c>
      <c r="B62" s="7">
        <f>+B13</f>
        <v>100000</v>
      </c>
      <c r="C62" s="84"/>
      <c r="D62" s="85"/>
      <c r="E62" s="85"/>
      <c r="F62" s="85"/>
      <c r="G62" s="85"/>
      <c r="H62" s="85"/>
    </row>
    <row r="63" spans="1:9" x14ac:dyDescent="0.35">
      <c r="A63" s="68" t="s">
        <v>64</v>
      </c>
      <c r="B63" s="7">
        <f>+B22</f>
        <v>150000</v>
      </c>
      <c r="C63" s="84"/>
      <c r="D63" s="85"/>
      <c r="E63" s="85"/>
      <c r="F63" s="85"/>
      <c r="G63" s="85"/>
      <c r="H63" s="85"/>
    </row>
    <row r="64" spans="1:9" ht="13.15" thickBot="1" x14ac:dyDescent="0.4">
      <c r="A64" s="68" t="s">
        <v>65</v>
      </c>
      <c r="B64" s="7">
        <f>+B17</f>
        <v>0</v>
      </c>
      <c r="C64" s="84">
        <f>IF(B68+C58+C61+C62+C63&lt;0,-(B68+C58+C61+C62+C63),0)</f>
        <v>0</v>
      </c>
      <c r="D64" s="85"/>
      <c r="E64" s="85"/>
      <c r="F64" s="85"/>
      <c r="G64" s="85"/>
      <c r="H64" s="85"/>
    </row>
    <row r="65" spans="1:9" ht="13.9" thickTop="1" thickBot="1" x14ac:dyDescent="0.45">
      <c r="A65" s="90" t="s">
        <v>66</v>
      </c>
      <c r="B65" s="91">
        <f>+B63+B62</f>
        <v>250000</v>
      </c>
      <c r="C65" s="91">
        <f>+C63+C62</f>
        <v>0</v>
      </c>
      <c r="D65" s="92"/>
      <c r="E65" s="92"/>
      <c r="F65" s="92"/>
      <c r="G65" s="92"/>
      <c r="H65" s="92"/>
    </row>
    <row r="66" spans="1:9" ht="15.75" thickTop="1" thickBot="1" x14ac:dyDescent="0.4">
      <c r="A66" s="93" t="s">
        <v>67</v>
      </c>
      <c r="B66" s="94">
        <f>+B58+B61+B65</f>
        <v>50000</v>
      </c>
      <c r="C66" s="94">
        <f>+C58+C61+C65</f>
        <v>32660</v>
      </c>
      <c r="D66" s="95"/>
      <c r="E66" s="95"/>
      <c r="F66" s="95"/>
      <c r="G66" s="95"/>
      <c r="H66" s="95"/>
    </row>
    <row r="67" spans="1:9" ht="13.9" thickTop="1" thickBot="1" x14ac:dyDescent="0.4">
      <c r="A67" s="96" t="s">
        <v>68</v>
      </c>
      <c r="B67" s="7">
        <v>0</v>
      </c>
      <c r="C67" s="97">
        <f>+B68</f>
        <v>50000</v>
      </c>
      <c r="D67" s="27"/>
      <c r="E67" s="27"/>
      <c r="F67" s="27"/>
      <c r="G67" s="27"/>
      <c r="H67" s="27"/>
    </row>
    <row r="68" spans="1:9" ht="13.9" thickTop="1" thickBot="1" x14ac:dyDescent="0.4">
      <c r="A68" s="98" t="s">
        <v>69</v>
      </c>
      <c r="B68" s="99">
        <f>+B66+B67</f>
        <v>50000</v>
      </c>
      <c r="C68" s="99">
        <f>+C66+C67</f>
        <v>82660</v>
      </c>
      <c r="D68" s="100"/>
      <c r="E68" s="100"/>
      <c r="F68" s="100"/>
      <c r="G68" s="100"/>
      <c r="H68" s="100"/>
    </row>
    <row r="69" spans="1:9" ht="13.15" thickTop="1" x14ac:dyDescent="0.35">
      <c r="D69" s="1"/>
      <c r="E69" s="1"/>
      <c r="F69" s="1"/>
      <c r="G69" s="1"/>
      <c r="H69" s="1"/>
    </row>
    <row r="70" spans="1:9" x14ac:dyDescent="0.35">
      <c r="D70" s="1"/>
      <c r="E70" s="1"/>
      <c r="F70" s="1"/>
      <c r="G70" s="1"/>
      <c r="H70" s="1"/>
    </row>
    <row r="71" spans="1:9" x14ac:dyDescent="0.35">
      <c r="D71" s="1"/>
      <c r="E71" s="1"/>
      <c r="F71" s="1"/>
      <c r="G71" s="1"/>
      <c r="H71" s="1"/>
    </row>
    <row r="72" spans="1:9" x14ac:dyDescent="0.35">
      <c r="C72" s="31"/>
      <c r="D72" s="30"/>
      <c r="E72" s="30"/>
      <c r="F72" s="30"/>
      <c r="G72" s="30"/>
      <c r="H72" s="30"/>
      <c r="I72" s="31"/>
    </row>
  </sheetData>
  <mergeCells count="38">
    <mergeCell ref="A1:I1"/>
    <mergeCell ref="A51:A52"/>
    <mergeCell ref="B51:B52"/>
    <mergeCell ref="C51:C52"/>
    <mergeCell ref="H20:H21"/>
    <mergeCell ref="I20:I21"/>
    <mergeCell ref="A28:A29"/>
    <mergeCell ref="B28:B29"/>
    <mergeCell ref="C28:F28"/>
    <mergeCell ref="A36:A37"/>
    <mergeCell ref="B36:B37"/>
    <mergeCell ref="C36:C37"/>
    <mergeCell ref="G11:G12"/>
    <mergeCell ref="H11:H12"/>
    <mergeCell ref="I11:I12"/>
    <mergeCell ref="A20:A21"/>
    <mergeCell ref="G20:G21"/>
    <mergeCell ref="A11:A12"/>
    <mergeCell ref="B11:B12"/>
    <mergeCell ref="C11:C12"/>
    <mergeCell ref="D11:D12"/>
    <mergeCell ref="E11:E12"/>
    <mergeCell ref="F11:F12"/>
    <mergeCell ref="B20:B21"/>
    <mergeCell ref="C20:C21"/>
    <mergeCell ref="D20:D21"/>
    <mergeCell ref="E20:E21"/>
    <mergeCell ref="F20:F21"/>
    <mergeCell ref="A2:I2"/>
    <mergeCell ref="A3:A4"/>
    <mergeCell ref="B3:B4"/>
    <mergeCell ref="C3:C4"/>
    <mergeCell ref="D3:D4"/>
    <mergeCell ref="E3:E4"/>
    <mergeCell ref="F3:F4"/>
    <mergeCell ref="G3:G4"/>
    <mergeCell ref="H3:H4"/>
    <mergeCell ref="I3:I4"/>
  </mergeCells>
  <pageMargins left="0.75" right="0.75" top="0.72" bottom="1" header="0" footer="0"/>
  <pageSetup paperSize="9" orientation="landscape" horizontalDpi="4294967293" r:id="rId1"/>
  <headerFooter alignWithMargins="0"/>
  <rowBreaks count="1" manualBreakCount="1">
    <brk id="26" max="1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08585-8FDA-4A70-BA60-D9DC354B7EB3}">
  <dimension ref="A1:J129"/>
  <sheetViews>
    <sheetView showZeros="0" topLeftCell="A102" zoomScaleNormal="100" zoomScaleSheetLayoutView="100" workbookViewId="0">
      <selection activeCell="F110" sqref="F110"/>
    </sheetView>
  </sheetViews>
  <sheetFormatPr baseColWidth="10" defaultRowHeight="12.75" x14ac:dyDescent="0.35"/>
  <cols>
    <col min="1" max="1" width="41.265625" customWidth="1"/>
    <col min="2" max="3" width="14.1328125" customWidth="1"/>
    <col min="4" max="4" width="45.265625" customWidth="1"/>
    <col min="5" max="5" width="28.53125" customWidth="1"/>
    <col min="6" max="9" width="14.1328125" customWidth="1"/>
    <col min="11" max="11" width="39.73046875" customWidth="1"/>
    <col min="16" max="16" width="10.1328125" customWidth="1"/>
  </cols>
  <sheetData>
    <row r="1" spans="1:9" ht="118.15" customHeight="1" thickBot="1" x14ac:dyDescent="0.4">
      <c r="A1" s="379" t="s">
        <v>123</v>
      </c>
      <c r="B1" s="380"/>
      <c r="C1" s="380"/>
      <c r="D1" s="380"/>
      <c r="E1" s="380"/>
      <c r="F1" s="380"/>
      <c r="G1" s="380"/>
      <c r="H1" s="380"/>
      <c r="I1" s="380"/>
    </row>
    <row r="2" spans="1:9" ht="18" thickTop="1" thickBot="1" x14ac:dyDescent="0.5">
      <c r="A2" s="349" t="s">
        <v>0</v>
      </c>
      <c r="B2" s="350"/>
      <c r="C2" s="350"/>
      <c r="D2" s="350"/>
      <c r="E2" s="350"/>
      <c r="F2" s="350"/>
      <c r="G2" s="350"/>
      <c r="H2" s="350"/>
      <c r="I2" s="351"/>
    </row>
    <row r="3" spans="1:9" ht="13.5" customHeight="1" thickTop="1" x14ac:dyDescent="0.35">
      <c r="A3" s="352" t="s">
        <v>1</v>
      </c>
      <c r="B3" s="354" t="s">
        <v>2</v>
      </c>
      <c r="C3" s="356">
        <v>1</v>
      </c>
      <c r="D3" s="356">
        <f>+C3+1</f>
        <v>2</v>
      </c>
      <c r="E3" s="356">
        <f>+D3+1</f>
        <v>3</v>
      </c>
      <c r="F3" s="356">
        <f>+E3+1</f>
        <v>4</v>
      </c>
      <c r="G3" s="356">
        <f>+F3+1</f>
        <v>5</v>
      </c>
      <c r="H3" s="358">
        <f>+G3+1</f>
        <v>6</v>
      </c>
      <c r="I3" s="360" t="s">
        <v>3</v>
      </c>
    </row>
    <row r="4" spans="1:9" ht="13.5" customHeight="1" thickBot="1" x14ac:dyDescent="0.4">
      <c r="A4" s="353"/>
      <c r="B4" s="355"/>
      <c r="C4" s="357"/>
      <c r="D4" s="357"/>
      <c r="E4" s="357"/>
      <c r="F4" s="357"/>
      <c r="G4" s="357"/>
      <c r="H4" s="359"/>
      <c r="I4" s="361"/>
    </row>
    <row r="5" spans="1:9" ht="13.15" thickTop="1" x14ac:dyDescent="0.35">
      <c r="A5" s="101" t="s">
        <v>4</v>
      </c>
      <c r="B5" s="102">
        <v>200000</v>
      </c>
      <c r="C5" s="103"/>
      <c r="D5" s="104"/>
      <c r="E5" s="104"/>
      <c r="F5" s="105">
        <f>IF($D$44=1,B44,0)</f>
        <v>-20000</v>
      </c>
      <c r="G5" s="104"/>
      <c r="H5" s="104"/>
      <c r="I5" s="102">
        <f>SUM(B5:H5)</f>
        <v>180000</v>
      </c>
    </row>
    <row r="6" spans="1:9" x14ac:dyDescent="0.35">
      <c r="A6" s="101" t="s">
        <v>5</v>
      </c>
      <c r="B6" s="106">
        <v>0</v>
      </c>
      <c r="C6" s="103"/>
      <c r="D6" s="285">
        <v>56254</v>
      </c>
      <c r="E6" s="105"/>
      <c r="F6" s="105"/>
      <c r="G6" s="105"/>
      <c r="H6" s="105"/>
      <c r="I6" s="106">
        <f>SUM(B6:H6)</f>
        <v>56254</v>
      </c>
    </row>
    <row r="7" spans="1:9" x14ac:dyDescent="0.35">
      <c r="A7" s="101" t="s">
        <v>6</v>
      </c>
      <c r="B7" s="106">
        <v>0</v>
      </c>
      <c r="C7" s="103">
        <v>100000</v>
      </c>
      <c r="D7" s="105"/>
      <c r="E7" s="105"/>
      <c r="F7" s="105"/>
      <c r="G7" s="105"/>
      <c r="H7" s="105"/>
      <c r="I7" s="106">
        <f>SUM(B7:H7)</f>
        <v>100000</v>
      </c>
    </row>
    <row r="8" spans="1:9" ht="13.15" thickBot="1" x14ac:dyDescent="0.4">
      <c r="A8" s="101" t="s">
        <v>7</v>
      </c>
      <c r="B8" s="106">
        <f>+B66</f>
        <v>50000</v>
      </c>
      <c r="C8" s="103">
        <f>IF($D$38=1,C53,0)</f>
        <v>1300000</v>
      </c>
      <c r="D8" s="105">
        <v>-865740</v>
      </c>
      <c r="E8" s="105">
        <f>IF($D$42=1,C55,0)</f>
        <v>-332500</v>
      </c>
      <c r="F8" s="107"/>
      <c r="G8" s="105">
        <f>IF($D$46=1,C56,0)</f>
        <v>-5000</v>
      </c>
      <c r="H8" s="105">
        <f>IF($D$48=1,C57,0)</f>
        <v>-46600</v>
      </c>
      <c r="I8" s="106">
        <f>SUM(B8:H8)</f>
        <v>100160</v>
      </c>
    </row>
    <row r="9" spans="1:9" ht="15.75" thickTop="1" thickBot="1" x14ac:dyDescent="0.4">
      <c r="A9" s="108" t="s">
        <v>8</v>
      </c>
      <c r="B9" s="109">
        <f t="shared" ref="B9:I9" si="0">SUM(B5:B8)</f>
        <v>250000</v>
      </c>
      <c r="C9" s="110">
        <f t="shared" si="0"/>
        <v>1400000</v>
      </c>
      <c r="D9" s="110">
        <f t="shared" si="0"/>
        <v>-809486</v>
      </c>
      <c r="E9" s="110">
        <f t="shared" si="0"/>
        <v>-332500</v>
      </c>
      <c r="F9" s="110">
        <f t="shared" si="0"/>
        <v>-20000</v>
      </c>
      <c r="G9" s="110">
        <f t="shared" si="0"/>
        <v>-5000</v>
      </c>
      <c r="H9" s="110">
        <f t="shared" si="0"/>
        <v>-46600</v>
      </c>
      <c r="I9" s="109">
        <f t="shared" si="0"/>
        <v>436414</v>
      </c>
    </row>
    <row r="10" spans="1:9" ht="5.0999999999999996" customHeight="1" thickTop="1" thickBot="1" x14ac:dyDescent="0.45">
      <c r="A10" s="111"/>
      <c r="B10" s="112"/>
      <c r="C10" s="112"/>
      <c r="D10" s="112"/>
      <c r="E10" s="112"/>
      <c r="F10" s="112"/>
      <c r="G10" s="112"/>
      <c r="H10" s="112"/>
      <c r="I10" s="113"/>
    </row>
    <row r="11" spans="1:9" ht="13.5" customHeight="1" thickTop="1" x14ac:dyDescent="0.35">
      <c r="A11" s="352" t="s">
        <v>9</v>
      </c>
      <c r="B11" s="362" t="str">
        <f t="shared" ref="B11:I11" si="1">+B3</f>
        <v>BALANCE INICIAL</v>
      </c>
      <c r="C11" s="368">
        <f t="shared" si="1"/>
        <v>1</v>
      </c>
      <c r="D11" s="356">
        <f t="shared" si="1"/>
        <v>2</v>
      </c>
      <c r="E11" s="356">
        <f t="shared" si="1"/>
        <v>3</v>
      </c>
      <c r="F11" s="356">
        <f t="shared" si="1"/>
        <v>4</v>
      </c>
      <c r="G11" s="356">
        <f t="shared" si="1"/>
        <v>5</v>
      </c>
      <c r="H11" s="358">
        <f t="shared" si="1"/>
        <v>6</v>
      </c>
      <c r="I11" s="362" t="str">
        <f t="shared" si="1"/>
        <v>BALANCE FINAL</v>
      </c>
    </row>
    <row r="12" spans="1:9" ht="13.15" thickBot="1" x14ac:dyDescent="0.4">
      <c r="A12" s="353"/>
      <c r="B12" s="363"/>
      <c r="C12" s="369"/>
      <c r="D12" s="357"/>
      <c r="E12" s="357"/>
      <c r="F12" s="357"/>
      <c r="G12" s="357"/>
      <c r="H12" s="359"/>
      <c r="I12" s="363"/>
    </row>
    <row r="13" spans="1:9" ht="13.15" thickTop="1" x14ac:dyDescent="0.35">
      <c r="A13" s="114" t="s">
        <v>10</v>
      </c>
      <c r="B13" s="102">
        <f>IF(B$25=0,0,100000)</f>
        <v>100000</v>
      </c>
      <c r="C13" s="115"/>
      <c r="D13" s="104"/>
      <c r="E13" s="104"/>
      <c r="F13" s="104"/>
      <c r="G13" s="104"/>
      <c r="H13" s="104"/>
      <c r="I13" s="106">
        <f>SUM(B13:H13)</f>
        <v>100000</v>
      </c>
    </row>
    <row r="14" spans="1:9" x14ac:dyDescent="0.35">
      <c r="A14" s="101" t="s">
        <v>11</v>
      </c>
      <c r="B14" s="106"/>
      <c r="C14" s="103"/>
      <c r="D14" s="105">
        <v>32075</v>
      </c>
      <c r="E14" s="105"/>
      <c r="F14" s="105"/>
      <c r="G14" s="105"/>
      <c r="H14" s="105"/>
      <c r="I14" s="106">
        <f>SUM(B14:H14)</f>
        <v>32075</v>
      </c>
    </row>
    <row r="15" spans="1:9" x14ac:dyDescent="0.35">
      <c r="A15" s="101" t="s">
        <v>12</v>
      </c>
      <c r="B15" s="106"/>
      <c r="C15" s="103"/>
      <c r="D15" s="105"/>
      <c r="E15" s="105"/>
      <c r="F15" s="105"/>
      <c r="G15" s="105"/>
      <c r="H15" s="105"/>
      <c r="I15" s="106">
        <f>SUM(B15:H15)</f>
        <v>0</v>
      </c>
    </row>
    <row r="16" spans="1:9" x14ac:dyDescent="0.35">
      <c r="A16" s="101" t="s">
        <v>13</v>
      </c>
      <c r="B16" s="106"/>
      <c r="C16" s="103"/>
      <c r="D16" s="105"/>
      <c r="E16" s="105"/>
      <c r="F16" s="105"/>
      <c r="G16" s="105"/>
      <c r="H16" s="105"/>
      <c r="I16" s="106">
        <f>SUM(B16:H16)</f>
        <v>0</v>
      </c>
    </row>
    <row r="17" spans="1:10" ht="13.15" thickBot="1" x14ac:dyDescent="0.4">
      <c r="A17" s="101" t="s">
        <v>14</v>
      </c>
      <c r="B17" s="106"/>
      <c r="C17" s="103"/>
      <c r="D17" s="116"/>
      <c r="E17" s="116"/>
      <c r="F17" s="116"/>
      <c r="G17" s="116"/>
      <c r="H17" s="116"/>
      <c r="I17" s="106">
        <f>SUM(B17:H17)</f>
        <v>0</v>
      </c>
    </row>
    <row r="18" spans="1:10" ht="13.9" thickTop="1" thickBot="1" x14ac:dyDescent="0.45">
      <c r="A18" s="117" t="s">
        <v>15</v>
      </c>
      <c r="B18" s="113">
        <f t="shared" ref="B18:I18" si="2">SUM(B13:B17)</f>
        <v>100000</v>
      </c>
      <c r="C18" s="113">
        <f t="shared" si="2"/>
        <v>0</v>
      </c>
      <c r="D18" s="113">
        <f t="shared" si="2"/>
        <v>32075</v>
      </c>
      <c r="E18" s="113">
        <f t="shared" si="2"/>
        <v>0</v>
      </c>
      <c r="F18" s="113">
        <f t="shared" si="2"/>
        <v>0</v>
      </c>
      <c r="G18" s="113">
        <f t="shared" si="2"/>
        <v>0</v>
      </c>
      <c r="H18" s="113">
        <f t="shared" si="2"/>
        <v>0</v>
      </c>
      <c r="I18" s="113">
        <f t="shared" si="2"/>
        <v>132075</v>
      </c>
    </row>
    <row r="19" spans="1:10" ht="5.0999999999999996" customHeight="1" thickTop="1" thickBot="1" x14ac:dyDescent="0.45">
      <c r="A19" s="118"/>
      <c r="B19" s="119"/>
      <c r="C19" s="119"/>
      <c r="D19" s="119"/>
      <c r="E19" s="119"/>
      <c r="F19" s="119"/>
      <c r="G19" s="119"/>
      <c r="H19" s="119"/>
      <c r="I19" s="113"/>
    </row>
    <row r="20" spans="1:10" ht="13.15" thickTop="1" x14ac:dyDescent="0.35">
      <c r="A20" s="352" t="s">
        <v>16</v>
      </c>
      <c r="B20" s="360" t="s">
        <v>2</v>
      </c>
      <c r="C20" s="364">
        <f t="shared" ref="C20:H20" si="3">+C11</f>
        <v>1</v>
      </c>
      <c r="D20" s="366">
        <f t="shared" si="3"/>
        <v>2</v>
      </c>
      <c r="E20" s="366">
        <f t="shared" si="3"/>
        <v>3</v>
      </c>
      <c r="F20" s="366">
        <f t="shared" si="3"/>
        <v>4</v>
      </c>
      <c r="G20" s="366">
        <f t="shared" si="3"/>
        <v>5</v>
      </c>
      <c r="H20" s="370">
        <f t="shared" si="3"/>
        <v>6</v>
      </c>
      <c r="I20" s="360" t="s">
        <v>3</v>
      </c>
    </row>
    <row r="21" spans="1:10" ht="13.15" thickBot="1" x14ac:dyDescent="0.4">
      <c r="A21" s="353"/>
      <c r="B21" s="361"/>
      <c r="C21" s="365"/>
      <c r="D21" s="367"/>
      <c r="E21" s="367"/>
      <c r="F21" s="367"/>
      <c r="G21" s="367"/>
      <c r="H21" s="371"/>
      <c r="I21" s="361"/>
    </row>
    <row r="22" spans="1:10" ht="13.15" thickTop="1" x14ac:dyDescent="0.35">
      <c r="A22" s="114" t="s">
        <v>17</v>
      </c>
      <c r="B22" s="102">
        <f>IF(B$25=0,0,150000)</f>
        <v>150000</v>
      </c>
      <c r="C22" s="115"/>
      <c r="D22" s="104"/>
      <c r="E22" s="104"/>
      <c r="F22" s="104"/>
      <c r="G22" s="104"/>
      <c r="H22" s="104"/>
      <c r="I22" s="102">
        <f>SUM(B22:H22)</f>
        <v>150000</v>
      </c>
    </row>
    <row r="23" spans="1:10" ht="13.15" thickBot="1" x14ac:dyDescent="0.4">
      <c r="A23" s="120" t="s">
        <v>18</v>
      </c>
      <c r="B23" s="106"/>
      <c r="C23" s="103">
        <f>IF($D$38=1,B38,0)</f>
        <v>1400000</v>
      </c>
      <c r="D23" s="116">
        <f>IF($D$40=1,B40,0)</f>
        <v>-838600</v>
      </c>
      <c r="E23" s="105">
        <f>IF($D$42=1,B42,0)</f>
        <v>-350000</v>
      </c>
      <c r="F23" s="105">
        <f>IF($D$44=1,B44,0)</f>
        <v>-20000</v>
      </c>
      <c r="G23" s="105">
        <f>IF($D$46=1,B46,0)</f>
        <v>-5000</v>
      </c>
      <c r="H23" s="105">
        <f>IF($D$48=1,B48,0)</f>
        <v>-46600</v>
      </c>
      <c r="I23" s="106">
        <f>SUM(B23:H23)</f>
        <v>139800</v>
      </c>
    </row>
    <row r="24" spans="1:10" ht="15.75" thickTop="1" thickBot="1" x14ac:dyDescent="0.4">
      <c r="A24" s="121" t="s">
        <v>19</v>
      </c>
      <c r="B24" s="122">
        <f t="shared" ref="B24:I24" si="4">SUM(B22:B23)</f>
        <v>150000</v>
      </c>
      <c r="C24" s="122">
        <f t="shared" si="4"/>
        <v>1400000</v>
      </c>
      <c r="D24" s="122">
        <f t="shared" si="4"/>
        <v>-838600</v>
      </c>
      <c r="E24" s="122">
        <f t="shared" si="4"/>
        <v>-350000</v>
      </c>
      <c r="F24" s="122">
        <f t="shared" si="4"/>
        <v>-20000</v>
      </c>
      <c r="G24" s="122">
        <f t="shared" si="4"/>
        <v>-5000</v>
      </c>
      <c r="H24" s="122">
        <f t="shared" si="4"/>
        <v>-46600</v>
      </c>
      <c r="I24" s="122">
        <f t="shared" si="4"/>
        <v>289800</v>
      </c>
    </row>
    <row r="25" spans="1:10" ht="15.4" thickTop="1" x14ac:dyDescent="0.35">
      <c r="A25" s="123"/>
      <c r="B25" s="107">
        <v>1</v>
      </c>
      <c r="C25" s="124"/>
      <c r="D25" s="124"/>
      <c r="E25" s="124"/>
      <c r="F25" s="124"/>
      <c r="G25" s="124"/>
      <c r="H25" s="124"/>
      <c r="I25" s="124"/>
      <c r="J25" s="1"/>
    </row>
    <row r="26" spans="1:10" x14ac:dyDescent="0.35">
      <c r="A26" s="125" t="s">
        <v>20</v>
      </c>
      <c r="B26" s="126">
        <f t="shared" ref="B26:I26" si="5">+B9-B18-B24</f>
        <v>0</v>
      </c>
      <c r="C26" s="126">
        <f t="shared" si="5"/>
        <v>0</v>
      </c>
      <c r="D26" s="126">
        <f t="shared" si="5"/>
        <v>-2961</v>
      </c>
      <c r="E26" s="126">
        <f t="shared" si="5"/>
        <v>17500</v>
      </c>
      <c r="F26" s="126">
        <f t="shared" si="5"/>
        <v>0</v>
      </c>
      <c r="G26" s="126">
        <f t="shared" si="5"/>
        <v>0</v>
      </c>
      <c r="H26" s="126">
        <f t="shared" si="5"/>
        <v>0</v>
      </c>
      <c r="I26" s="126">
        <f t="shared" si="5"/>
        <v>14539</v>
      </c>
    </row>
    <row r="27" spans="1:10" ht="23.25" customHeight="1" x14ac:dyDescent="0.35">
      <c r="A27" s="107"/>
      <c r="B27" s="127">
        <f>+B9-B18-B24</f>
        <v>0</v>
      </c>
      <c r="C27" s="127"/>
      <c r="D27" s="127"/>
      <c r="E27" s="127"/>
      <c r="F27" s="128"/>
      <c r="G27" s="129"/>
      <c r="H27" s="130"/>
      <c r="I27" s="130"/>
    </row>
    <row r="28" spans="1:10" ht="15" customHeight="1" x14ac:dyDescent="0.35">
      <c r="A28" s="372"/>
      <c r="B28" s="374" t="s">
        <v>21</v>
      </c>
      <c r="C28" s="376" t="s">
        <v>22</v>
      </c>
      <c r="D28" s="377"/>
      <c r="E28" s="377"/>
      <c r="F28" s="378"/>
      <c r="G28" s="129"/>
      <c r="H28" s="130"/>
      <c r="I28" s="130"/>
    </row>
    <row r="29" spans="1:10" ht="15" customHeight="1" x14ac:dyDescent="0.35">
      <c r="A29" s="373"/>
      <c r="B29" s="375"/>
      <c r="C29" s="131" t="s">
        <v>23</v>
      </c>
      <c r="D29" s="131" t="s">
        <v>24</v>
      </c>
      <c r="E29" s="131" t="s">
        <v>25</v>
      </c>
      <c r="F29" s="131" t="s">
        <v>26</v>
      </c>
      <c r="G29" s="129"/>
      <c r="H29" s="130"/>
      <c r="I29" s="130"/>
    </row>
    <row r="30" spans="1:10" ht="15" customHeight="1" x14ac:dyDescent="0.4">
      <c r="A30" s="132" t="s">
        <v>27</v>
      </c>
      <c r="B30" s="133">
        <v>1400000</v>
      </c>
      <c r="C30" s="133">
        <f>+$B$30*C31</f>
        <v>489999.99999999994</v>
      </c>
      <c r="D30" s="133">
        <f>+$B$30*D31</f>
        <v>630000</v>
      </c>
      <c r="E30" s="133">
        <f>+$B$30*E31</f>
        <v>70000</v>
      </c>
      <c r="F30" s="134">
        <f>+$B$30*F31</f>
        <v>210000.00000000003</v>
      </c>
      <c r="G30" s="129"/>
      <c r="H30" s="130"/>
      <c r="I30" s="130"/>
    </row>
    <row r="31" spans="1:10" ht="15" customHeight="1" x14ac:dyDescent="0.35">
      <c r="A31" s="135" t="s">
        <v>28</v>
      </c>
      <c r="B31" s="136">
        <f>SUM(C31:F31)</f>
        <v>1</v>
      </c>
      <c r="C31" s="137">
        <v>0.35</v>
      </c>
      <c r="D31" s="137">
        <v>0.45</v>
      </c>
      <c r="E31" s="137">
        <v>0.05</v>
      </c>
      <c r="F31" s="138">
        <f>1-C31-D31-E31</f>
        <v>0.15000000000000002</v>
      </c>
      <c r="G31" s="129"/>
      <c r="H31" s="130"/>
      <c r="I31" s="130"/>
    </row>
    <row r="32" spans="1:10" ht="15" customHeight="1" x14ac:dyDescent="0.35">
      <c r="A32" s="139" t="s">
        <v>29</v>
      </c>
      <c r="B32" s="140">
        <f>-SUM(C32:F32)</f>
        <v>-838600</v>
      </c>
      <c r="C32" s="141">
        <f>+C30*(1-C34)</f>
        <v>284200</v>
      </c>
      <c r="D32" s="141">
        <f>+D30*(1-D34)</f>
        <v>384300</v>
      </c>
      <c r="E32" s="141">
        <f>+E30*(1-E34)</f>
        <v>23099.999999999996</v>
      </c>
      <c r="F32" s="141">
        <f>+F30*(1-F34)</f>
        <v>147000</v>
      </c>
      <c r="G32" s="129"/>
      <c r="H32" s="130"/>
      <c r="I32" s="130"/>
    </row>
    <row r="33" spans="1:9" ht="15" customHeight="1" x14ac:dyDescent="0.4">
      <c r="A33" s="142" t="s">
        <v>30</v>
      </c>
      <c r="B33" s="143">
        <f>SUM(C33:F33)</f>
        <v>561400</v>
      </c>
      <c r="C33" s="144">
        <f>+C30-C32</f>
        <v>205799.99999999994</v>
      </c>
      <c r="D33" s="144">
        <f>+D30-D32</f>
        <v>245700</v>
      </c>
      <c r="E33" s="144">
        <f>+E30-E32</f>
        <v>46900</v>
      </c>
      <c r="F33" s="144">
        <f>+F30-F32</f>
        <v>63000.000000000029</v>
      </c>
      <c r="G33" s="129"/>
      <c r="H33" s="130"/>
      <c r="I33" s="130"/>
    </row>
    <row r="34" spans="1:9" ht="15" customHeight="1" x14ac:dyDescent="0.4">
      <c r="A34" s="145" t="s">
        <v>31</v>
      </c>
      <c r="B34" s="146">
        <f>+B33/B30</f>
        <v>0.40100000000000002</v>
      </c>
      <c r="C34" s="147">
        <v>0.42</v>
      </c>
      <c r="D34" s="147">
        <v>0.39</v>
      </c>
      <c r="E34" s="147">
        <v>0.67</v>
      </c>
      <c r="F34" s="148">
        <v>0.3</v>
      </c>
      <c r="G34" s="129"/>
      <c r="H34" s="130"/>
      <c r="I34" s="130"/>
    </row>
    <row r="35" spans="1:9" ht="23.25" customHeight="1" thickBot="1" x14ac:dyDescent="0.4">
      <c r="A35" s="107"/>
      <c r="B35" s="127"/>
      <c r="C35" s="127"/>
      <c r="D35" s="127"/>
      <c r="E35" s="127"/>
      <c r="F35" s="128"/>
      <c r="G35" s="129"/>
      <c r="H35" s="130"/>
      <c r="I35" s="130"/>
    </row>
    <row r="36" spans="1:9" ht="13.5" customHeight="1" thickTop="1" x14ac:dyDescent="0.35">
      <c r="A36" s="381" t="s">
        <v>32</v>
      </c>
      <c r="B36" s="383" t="s">
        <v>33</v>
      </c>
      <c r="C36" s="385" t="s">
        <v>34</v>
      </c>
      <c r="D36" s="149"/>
      <c r="E36" s="149"/>
      <c r="F36" s="107"/>
      <c r="G36" s="107"/>
      <c r="H36" s="150"/>
      <c r="I36" s="150"/>
    </row>
    <row r="37" spans="1:9" ht="15" customHeight="1" thickBot="1" x14ac:dyDescent="0.4">
      <c r="A37" s="382"/>
      <c r="B37" s="384"/>
      <c r="C37" s="386"/>
      <c r="D37" s="107"/>
      <c r="E37" s="107"/>
      <c r="F37" s="107"/>
      <c r="G37" s="107"/>
      <c r="H37" s="107"/>
      <c r="I37" s="107"/>
    </row>
    <row r="38" spans="1:9" ht="13.5" thickTop="1" x14ac:dyDescent="0.4">
      <c r="A38" s="151" t="s">
        <v>35</v>
      </c>
      <c r="B38" s="102">
        <f>IF($D38=1,B30,0)</f>
        <v>1400000</v>
      </c>
      <c r="C38" s="152">
        <f t="shared" ref="C38:C49" si="6">+B38/$B$38</f>
        <v>1</v>
      </c>
      <c r="D38" s="107">
        <v>1</v>
      </c>
      <c r="E38" s="153" t="s">
        <v>36</v>
      </c>
      <c r="F38" s="107"/>
      <c r="G38" s="107"/>
      <c r="H38" s="107"/>
      <c r="I38" s="107"/>
    </row>
    <row r="39" spans="1:9" ht="18" customHeight="1" thickBot="1" x14ac:dyDescent="0.45">
      <c r="A39" s="154" t="s">
        <v>37</v>
      </c>
      <c r="B39" s="155">
        <f>+B38</f>
        <v>1400000</v>
      </c>
      <c r="C39" s="156">
        <f t="shared" si="6"/>
        <v>1</v>
      </c>
      <c r="D39" s="107"/>
      <c r="E39" s="107"/>
      <c r="F39" s="107"/>
      <c r="G39" s="107"/>
      <c r="H39" s="107"/>
      <c r="I39" s="107"/>
    </row>
    <row r="40" spans="1:9" ht="18" customHeight="1" thickTop="1" x14ac:dyDescent="0.35">
      <c r="A40" s="157" t="s">
        <v>38</v>
      </c>
      <c r="B40" s="102">
        <f>IF($D40=1,B32,0)</f>
        <v>-838600</v>
      </c>
      <c r="C40" s="158">
        <f t="shared" si="6"/>
        <v>-0.59899999999999998</v>
      </c>
      <c r="D40" s="107">
        <v>1</v>
      </c>
      <c r="E40" s="153" t="s">
        <v>39</v>
      </c>
      <c r="F40" s="107"/>
      <c r="G40" s="107"/>
      <c r="H40" s="107"/>
      <c r="I40" s="107"/>
    </row>
    <row r="41" spans="1:9" ht="18" customHeight="1" x14ac:dyDescent="0.4">
      <c r="A41" s="159" t="s">
        <v>40</v>
      </c>
      <c r="B41" s="160">
        <f>+B38+B40</f>
        <v>561400</v>
      </c>
      <c r="C41" s="161">
        <f t="shared" si="6"/>
        <v>0.40100000000000002</v>
      </c>
      <c r="D41" s="107"/>
      <c r="E41" s="107"/>
      <c r="F41" s="107"/>
      <c r="G41" s="107"/>
      <c r="H41" s="107"/>
      <c r="I41" s="107"/>
    </row>
    <row r="42" spans="1:9" ht="18" customHeight="1" x14ac:dyDescent="0.35">
      <c r="A42" s="162" t="s">
        <v>41</v>
      </c>
      <c r="B42" s="163">
        <f>IF($D42=1,-350000,0)</f>
        <v>-350000</v>
      </c>
      <c r="C42" s="164">
        <f t="shared" si="6"/>
        <v>-0.25</v>
      </c>
      <c r="D42" s="107">
        <v>1</v>
      </c>
      <c r="E42" s="153" t="s">
        <v>42</v>
      </c>
      <c r="F42" s="107"/>
      <c r="G42" s="107"/>
      <c r="H42" s="107"/>
      <c r="I42" s="107"/>
    </row>
    <row r="43" spans="1:9" ht="18" customHeight="1" x14ac:dyDescent="0.4">
      <c r="A43" s="165" t="s">
        <v>43</v>
      </c>
      <c r="B43" s="166">
        <f>+B41+B42</f>
        <v>211400</v>
      </c>
      <c r="C43" s="161">
        <f t="shared" si="6"/>
        <v>0.151</v>
      </c>
      <c r="D43" s="107"/>
      <c r="E43" s="107"/>
      <c r="F43" s="167"/>
      <c r="G43" s="167"/>
      <c r="H43" s="167"/>
      <c r="I43" s="107"/>
    </row>
    <row r="44" spans="1:9" ht="18" customHeight="1" x14ac:dyDescent="0.35">
      <c r="A44" s="162" t="s">
        <v>44</v>
      </c>
      <c r="B44" s="163">
        <f>IF($D44=1,-B5/10,0)</f>
        <v>-20000</v>
      </c>
      <c r="C44" s="164">
        <f t="shared" si="6"/>
        <v>-1.4285714285714285E-2</v>
      </c>
      <c r="D44" s="107">
        <v>1</v>
      </c>
      <c r="E44" s="153" t="s">
        <v>45</v>
      </c>
      <c r="F44" s="168"/>
      <c r="G44" s="168"/>
      <c r="H44" s="168"/>
      <c r="I44" s="107"/>
    </row>
    <row r="45" spans="1:9" ht="18" customHeight="1" x14ac:dyDescent="0.4">
      <c r="A45" s="165" t="s">
        <v>46</v>
      </c>
      <c r="B45" s="166">
        <f>+B43+B44</f>
        <v>191400</v>
      </c>
      <c r="C45" s="161">
        <f t="shared" si="6"/>
        <v>0.1367142857142857</v>
      </c>
      <c r="D45" s="107"/>
      <c r="E45" s="107"/>
      <c r="F45" s="167"/>
      <c r="G45" s="167"/>
      <c r="H45" s="167"/>
      <c r="I45" s="107"/>
    </row>
    <row r="46" spans="1:9" ht="18" customHeight="1" x14ac:dyDescent="0.35">
      <c r="A46" s="169" t="s">
        <v>47</v>
      </c>
      <c r="B46" s="163">
        <f>IF($D46=1,-B13*0.05,0)</f>
        <v>-5000</v>
      </c>
      <c r="C46" s="164">
        <f t="shared" si="6"/>
        <v>-3.5714285714285713E-3</v>
      </c>
      <c r="D46" s="107">
        <v>1</v>
      </c>
      <c r="E46" s="153" t="s">
        <v>48</v>
      </c>
      <c r="F46" s="168"/>
      <c r="G46" s="168"/>
      <c r="H46" s="168"/>
      <c r="I46" s="107"/>
    </row>
    <row r="47" spans="1:9" ht="18" customHeight="1" x14ac:dyDescent="0.4">
      <c r="A47" s="165" t="s">
        <v>49</v>
      </c>
      <c r="B47" s="166">
        <f>+B45+B46</f>
        <v>186400</v>
      </c>
      <c r="C47" s="161">
        <f t="shared" si="6"/>
        <v>0.13314285714285715</v>
      </c>
      <c r="D47" s="107"/>
      <c r="E47" s="107"/>
      <c r="F47" s="167"/>
      <c r="G47" s="167"/>
      <c r="H47" s="167"/>
      <c r="I47" s="107"/>
    </row>
    <row r="48" spans="1:9" ht="18" customHeight="1" x14ac:dyDescent="0.35">
      <c r="A48" s="162" t="s">
        <v>50</v>
      </c>
      <c r="B48" s="163">
        <f>IF($D48=1,-B47*0.25,0)</f>
        <v>-46600</v>
      </c>
      <c r="C48" s="164">
        <f t="shared" si="6"/>
        <v>-3.3285714285714287E-2</v>
      </c>
      <c r="D48" s="107">
        <v>1</v>
      </c>
      <c r="E48" s="153" t="s">
        <v>51</v>
      </c>
      <c r="F48" s="168"/>
      <c r="G48" s="168"/>
      <c r="H48" s="168"/>
      <c r="I48" s="107"/>
    </row>
    <row r="49" spans="1:9" ht="18" customHeight="1" x14ac:dyDescent="0.35">
      <c r="A49" s="170" t="s">
        <v>52</v>
      </c>
      <c r="B49" s="171">
        <f>+B47+B48</f>
        <v>139800</v>
      </c>
      <c r="C49" s="172">
        <f t="shared" si="6"/>
        <v>9.9857142857142853E-2</v>
      </c>
      <c r="D49" s="173"/>
      <c r="E49" s="173"/>
      <c r="F49" s="173"/>
      <c r="G49" s="173"/>
      <c r="H49" s="173"/>
      <c r="I49" s="107"/>
    </row>
    <row r="50" spans="1:9" ht="18" customHeight="1" thickBot="1" x14ac:dyDescent="0.4">
      <c r="D50" s="1"/>
      <c r="E50" s="1"/>
      <c r="F50" s="1"/>
      <c r="G50" s="1"/>
      <c r="H50" s="1"/>
    </row>
    <row r="51" spans="1:9" ht="13.15" thickTop="1" x14ac:dyDescent="0.35">
      <c r="A51" s="303" t="s">
        <v>53</v>
      </c>
      <c r="B51" s="305" t="s">
        <v>54</v>
      </c>
      <c r="C51" s="307" t="s">
        <v>53</v>
      </c>
      <c r="D51" s="54"/>
      <c r="E51" s="54"/>
      <c r="F51" s="54"/>
      <c r="G51" s="54"/>
      <c r="H51" s="54"/>
      <c r="I51" s="31"/>
    </row>
    <row r="52" spans="1:9" ht="13.15" thickBot="1" x14ac:dyDescent="0.4">
      <c r="A52" s="304"/>
      <c r="B52" s="306"/>
      <c r="C52" s="308"/>
      <c r="D52" s="54"/>
      <c r="E52" s="54"/>
      <c r="F52" s="54"/>
      <c r="G52" s="54"/>
      <c r="H52" s="54"/>
    </row>
    <row r="53" spans="1:9" ht="16.5" customHeight="1" thickTop="1" x14ac:dyDescent="0.35">
      <c r="A53" s="80" t="s">
        <v>55</v>
      </c>
      <c r="B53" s="81">
        <v>0</v>
      </c>
      <c r="C53" s="82">
        <v>1300000</v>
      </c>
      <c r="D53" s="83"/>
      <c r="E53" s="83"/>
      <c r="F53" s="83"/>
      <c r="G53" s="83"/>
      <c r="H53" s="83"/>
    </row>
    <row r="54" spans="1:9" x14ac:dyDescent="0.35">
      <c r="A54" s="75" t="s">
        <v>56</v>
      </c>
      <c r="B54" s="7">
        <v>0</v>
      </c>
      <c r="C54" s="84">
        <v>-865740</v>
      </c>
      <c r="D54" s="85"/>
      <c r="E54" s="85"/>
      <c r="F54" s="85"/>
      <c r="G54" s="85"/>
      <c r="H54" s="85"/>
    </row>
    <row r="55" spans="1:9" ht="13.15" x14ac:dyDescent="0.4">
      <c r="A55" s="174" t="s">
        <v>57</v>
      </c>
      <c r="B55" s="175">
        <v>0</v>
      </c>
      <c r="C55" s="175">
        <v>-332500</v>
      </c>
      <c r="D55" s="176" t="s">
        <v>70</v>
      </c>
      <c r="E55" s="176" t="s">
        <v>71</v>
      </c>
      <c r="F55" s="88">
        <v>100160</v>
      </c>
      <c r="G55" s="85"/>
      <c r="H55" s="85"/>
    </row>
    <row r="56" spans="1:9" x14ac:dyDescent="0.35">
      <c r="A56" s="68" t="s">
        <v>58</v>
      </c>
      <c r="B56" s="7"/>
      <c r="C56" s="84">
        <f>+B46</f>
        <v>-5000</v>
      </c>
      <c r="D56" s="85"/>
      <c r="E56" s="85"/>
      <c r="F56" s="85"/>
      <c r="G56" s="85"/>
      <c r="H56" s="85"/>
    </row>
    <row r="57" spans="1:9" ht="13.15" thickBot="1" x14ac:dyDescent="0.4">
      <c r="A57" s="68" t="s">
        <v>59</v>
      </c>
      <c r="B57" s="7"/>
      <c r="C57" s="84">
        <f>+B48</f>
        <v>-46600</v>
      </c>
      <c r="D57" s="85"/>
      <c r="E57" s="85"/>
      <c r="F57" s="85"/>
      <c r="G57" s="85"/>
      <c r="H57" s="85"/>
    </row>
    <row r="58" spans="1:9" ht="13.9" thickTop="1" thickBot="1" x14ac:dyDescent="0.45">
      <c r="A58" s="86" t="s">
        <v>60</v>
      </c>
      <c r="B58" s="87">
        <f>SUM(B53:B57)</f>
        <v>0</v>
      </c>
      <c r="C58" s="87">
        <f>SUM(C53:C57)</f>
        <v>50160</v>
      </c>
      <c r="D58" s="88"/>
      <c r="E58" s="88"/>
      <c r="F58" s="88"/>
      <c r="G58" s="88"/>
      <c r="H58" s="88"/>
    </row>
    <row r="59" spans="1:9" ht="13.15" thickTop="1" x14ac:dyDescent="0.35">
      <c r="A59" s="75" t="s">
        <v>61</v>
      </c>
      <c r="B59" s="3">
        <f>-B5</f>
        <v>-200000</v>
      </c>
      <c r="C59" s="57"/>
      <c r="D59" s="85"/>
      <c r="E59" s="85"/>
      <c r="F59" s="85"/>
      <c r="G59" s="85"/>
      <c r="H59" s="85"/>
    </row>
    <row r="60" spans="1:9" ht="13.15" thickBot="1" x14ac:dyDescent="0.4">
      <c r="A60" s="75"/>
      <c r="B60" s="89"/>
      <c r="C60" s="84">
        <f>SUM(B60:B60)</f>
        <v>0</v>
      </c>
      <c r="D60" s="85"/>
      <c r="E60" s="85"/>
      <c r="F60" s="85"/>
      <c r="G60" s="85"/>
      <c r="H60" s="85"/>
    </row>
    <row r="61" spans="1:9" ht="13.9" thickTop="1" thickBot="1" x14ac:dyDescent="0.45">
      <c r="A61" s="86" t="s">
        <v>62</v>
      </c>
      <c r="B61" s="87">
        <f>+B58+B59</f>
        <v>-200000</v>
      </c>
      <c r="C61" s="87">
        <f>+C59</f>
        <v>0</v>
      </c>
      <c r="D61" s="88"/>
      <c r="E61" s="88"/>
      <c r="F61" s="88"/>
      <c r="G61" s="88"/>
      <c r="H61" s="88"/>
    </row>
    <row r="62" spans="1:9" ht="13.15" thickTop="1" x14ac:dyDescent="0.35">
      <c r="A62" s="68" t="s">
        <v>63</v>
      </c>
      <c r="B62" s="7">
        <f>+B13</f>
        <v>100000</v>
      </c>
      <c r="C62" s="84"/>
      <c r="D62" s="85"/>
      <c r="E62" s="85"/>
      <c r="F62" s="85"/>
      <c r="G62" s="85"/>
      <c r="H62" s="85"/>
    </row>
    <row r="63" spans="1:9" x14ac:dyDescent="0.35">
      <c r="A63" s="68" t="s">
        <v>64</v>
      </c>
      <c r="B63" s="7">
        <f>+B22</f>
        <v>150000</v>
      </c>
      <c r="C63" s="84"/>
      <c r="D63" s="85"/>
      <c r="E63" s="85"/>
      <c r="F63" s="85"/>
      <c r="G63" s="85"/>
      <c r="H63" s="85"/>
    </row>
    <row r="64" spans="1:9" ht="13.15" thickBot="1" x14ac:dyDescent="0.4">
      <c r="A64" s="68" t="s">
        <v>65</v>
      </c>
      <c r="B64" s="7">
        <f>+B17</f>
        <v>0</v>
      </c>
      <c r="C64" s="84">
        <f>IF(B68+C58+C61+C62+C63&lt;0,-(B68+C58+C61+C62+C63),0)</f>
        <v>0</v>
      </c>
      <c r="D64" s="85"/>
      <c r="E64" s="85"/>
      <c r="F64" s="85"/>
      <c r="G64" s="85"/>
      <c r="H64" s="85"/>
    </row>
    <row r="65" spans="1:9" ht="13.9" thickTop="1" thickBot="1" x14ac:dyDescent="0.45">
      <c r="A65" s="90" t="s">
        <v>66</v>
      </c>
      <c r="B65" s="91">
        <f>+B63+B62</f>
        <v>250000</v>
      </c>
      <c r="C65" s="91">
        <f>+C63+C62</f>
        <v>0</v>
      </c>
      <c r="D65" s="92"/>
      <c r="E65" s="92"/>
      <c r="F65" s="92"/>
      <c r="G65" s="92"/>
      <c r="H65" s="92"/>
    </row>
    <row r="66" spans="1:9" ht="15.75" thickTop="1" thickBot="1" x14ac:dyDescent="0.4">
      <c r="A66" s="93" t="s">
        <v>67</v>
      </c>
      <c r="B66" s="94">
        <f>+B58+B61+B65</f>
        <v>50000</v>
      </c>
      <c r="C66" s="94">
        <f>+C58+C61+C65</f>
        <v>50160</v>
      </c>
      <c r="D66" s="95"/>
      <c r="E66" s="95"/>
      <c r="F66" s="95"/>
      <c r="G66" s="95"/>
      <c r="H66" s="95"/>
    </row>
    <row r="67" spans="1:9" ht="13.9" thickTop="1" thickBot="1" x14ac:dyDescent="0.4">
      <c r="A67" s="96" t="s">
        <v>68</v>
      </c>
      <c r="B67" s="7">
        <v>0</v>
      </c>
      <c r="C67" s="97">
        <f>+B68</f>
        <v>50000</v>
      </c>
      <c r="D67" s="27"/>
      <c r="E67" s="27"/>
      <c r="F67" s="27"/>
      <c r="G67" s="27"/>
      <c r="H67" s="27"/>
    </row>
    <row r="68" spans="1:9" ht="13.9" thickTop="1" thickBot="1" x14ac:dyDescent="0.4">
      <c r="A68" s="98" t="s">
        <v>69</v>
      </c>
      <c r="B68" s="99">
        <f>+B66+B67</f>
        <v>50000</v>
      </c>
      <c r="C68" s="99">
        <f>+C66+C67</f>
        <v>100160</v>
      </c>
      <c r="D68" s="100"/>
      <c r="E68" s="100"/>
      <c r="F68" s="100"/>
      <c r="G68" s="100"/>
      <c r="H68" s="100"/>
    </row>
    <row r="69" spans="1:9" ht="13.15" thickTop="1" x14ac:dyDescent="0.35">
      <c r="D69" s="1"/>
      <c r="E69" s="1"/>
      <c r="F69" s="1"/>
      <c r="G69" s="1"/>
      <c r="H69" s="1"/>
    </row>
    <row r="70" spans="1:9" ht="13.15" thickBot="1" x14ac:dyDescent="0.4">
      <c r="D70" s="1"/>
      <c r="E70" s="1"/>
      <c r="F70" s="1"/>
      <c r="G70" s="1"/>
      <c r="H70" s="1"/>
    </row>
    <row r="71" spans="1:9" ht="13.15" thickTop="1" x14ac:dyDescent="0.35">
      <c r="A71" s="303" t="s">
        <v>53</v>
      </c>
      <c r="B71" s="305" t="s">
        <v>54</v>
      </c>
      <c r="C71" s="307" t="s">
        <v>53</v>
      </c>
      <c r="D71" s="54"/>
      <c r="E71" s="54"/>
      <c r="F71" s="54"/>
      <c r="G71" s="54"/>
      <c r="H71" s="54"/>
      <c r="I71" s="31"/>
    </row>
    <row r="72" spans="1:9" ht="13.15" thickBot="1" x14ac:dyDescent="0.4">
      <c r="A72" s="304"/>
      <c r="B72" s="306"/>
      <c r="C72" s="308"/>
      <c r="D72" s="54"/>
      <c r="E72" s="54"/>
      <c r="F72" s="54"/>
      <c r="G72" s="54"/>
      <c r="H72" s="54"/>
    </row>
    <row r="73" spans="1:9" ht="16.5" customHeight="1" thickTop="1" x14ac:dyDescent="0.35">
      <c r="A73" s="80" t="s">
        <v>55</v>
      </c>
      <c r="B73" s="81">
        <v>0</v>
      </c>
      <c r="C73" s="82">
        <v>1300000</v>
      </c>
      <c r="D73" s="83"/>
      <c r="E73" s="83"/>
      <c r="F73" s="83"/>
      <c r="G73" s="83"/>
      <c r="H73" s="83"/>
    </row>
    <row r="74" spans="1:9" ht="13.15" x14ac:dyDescent="0.4">
      <c r="A74" s="174" t="s">
        <v>56</v>
      </c>
      <c r="B74" s="175">
        <v>0</v>
      </c>
      <c r="C74" s="175">
        <v>-822453</v>
      </c>
      <c r="D74" s="176" t="s">
        <v>118</v>
      </c>
      <c r="E74" s="176" t="s">
        <v>72</v>
      </c>
      <c r="F74" s="85"/>
      <c r="G74" s="85"/>
      <c r="H74" s="85"/>
    </row>
    <row r="75" spans="1:9" ht="13.15" x14ac:dyDescent="0.4">
      <c r="A75" s="177" t="s">
        <v>57</v>
      </c>
      <c r="B75" s="178">
        <v>0</v>
      </c>
      <c r="C75" s="178">
        <v>-350000</v>
      </c>
      <c r="D75" s="179"/>
      <c r="E75" s="179"/>
      <c r="F75" s="88"/>
      <c r="G75" s="85"/>
      <c r="H75" s="85"/>
    </row>
    <row r="76" spans="1:9" x14ac:dyDescent="0.35">
      <c r="A76" s="68" t="s">
        <v>58</v>
      </c>
      <c r="B76" s="7"/>
      <c r="C76" s="84">
        <v>-5000</v>
      </c>
      <c r="D76" s="85"/>
      <c r="E76" s="85"/>
      <c r="F76" s="85"/>
      <c r="G76" s="85"/>
      <c r="H76" s="85"/>
    </row>
    <row r="77" spans="1:9" ht="13.15" thickBot="1" x14ac:dyDescent="0.4">
      <c r="A77" s="68" t="s">
        <v>59</v>
      </c>
      <c r="B77" s="7"/>
      <c r="C77" s="84">
        <v>-46600</v>
      </c>
      <c r="D77" s="85"/>
      <c r="E77" s="85"/>
      <c r="F77" s="85"/>
      <c r="G77" s="85"/>
      <c r="H77" s="85"/>
    </row>
    <row r="78" spans="1:9" ht="13.9" thickTop="1" thickBot="1" x14ac:dyDescent="0.45">
      <c r="A78" s="86" t="s">
        <v>60</v>
      </c>
      <c r="B78" s="87">
        <f>SUM(B73:B77)</f>
        <v>0</v>
      </c>
      <c r="C78" s="87">
        <f>SUM(C73:C77)</f>
        <v>75947</v>
      </c>
      <c r="D78" s="88"/>
      <c r="E78" s="88"/>
      <c r="F78" s="88"/>
      <c r="G78" s="88"/>
      <c r="H78" s="88"/>
    </row>
    <row r="79" spans="1:9" ht="13.15" thickTop="1" x14ac:dyDescent="0.35">
      <c r="A79" s="75" t="s">
        <v>61</v>
      </c>
      <c r="B79" s="3">
        <v>-200000</v>
      </c>
      <c r="C79" s="57"/>
      <c r="D79" s="85"/>
      <c r="E79" s="85"/>
      <c r="F79" s="85"/>
      <c r="G79" s="85"/>
      <c r="H79" s="85"/>
    </row>
    <row r="80" spans="1:9" ht="13.15" thickBot="1" x14ac:dyDescent="0.4">
      <c r="A80" s="75"/>
      <c r="B80" s="89"/>
      <c r="C80" s="84">
        <f>SUM(B80:B80)</f>
        <v>0</v>
      </c>
      <c r="D80" s="85"/>
      <c r="E80" s="85"/>
      <c r="F80" s="85"/>
      <c r="G80" s="85"/>
      <c r="H80" s="85"/>
    </row>
    <row r="81" spans="1:9" ht="13.9" thickTop="1" thickBot="1" x14ac:dyDescent="0.45">
      <c r="A81" s="86" t="s">
        <v>62</v>
      </c>
      <c r="B81" s="87">
        <f>+B78+B79</f>
        <v>-200000</v>
      </c>
      <c r="C81" s="87">
        <f>+C79</f>
        <v>0</v>
      </c>
      <c r="D81" s="88"/>
      <c r="E81" s="88"/>
      <c r="F81" s="88"/>
      <c r="G81" s="88"/>
      <c r="H81" s="88"/>
    </row>
    <row r="82" spans="1:9" ht="13.15" thickTop="1" x14ac:dyDescent="0.35">
      <c r="A82" s="68" t="s">
        <v>63</v>
      </c>
      <c r="B82" s="7">
        <v>100000</v>
      </c>
      <c r="C82" s="84"/>
      <c r="D82" s="85"/>
      <c r="E82" s="85"/>
      <c r="F82" s="85"/>
      <c r="G82" s="85"/>
      <c r="H82" s="85"/>
    </row>
    <row r="83" spans="1:9" x14ac:dyDescent="0.35">
      <c r="A83" s="68" t="s">
        <v>64</v>
      </c>
      <c r="B83" s="7">
        <v>150000</v>
      </c>
      <c r="C83" s="84"/>
      <c r="D83" s="85"/>
      <c r="E83" s="85"/>
      <c r="F83" s="85"/>
      <c r="G83" s="85"/>
      <c r="H83" s="85"/>
    </row>
    <row r="84" spans="1:9" ht="13.15" thickBot="1" x14ac:dyDescent="0.4">
      <c r="A84" s="68" t="s">
        <v>65</v>
      </c>
      <c r="B84" s="7">
        <f>+B37</f>
        <v>0</v>
      </c>
      <c r="C84" s="84">
        <f>IF(B88+C78+C81+C82+C83&lt;0,-(B88+C78+C81+C82+C83),0)</f>
        <v>0</v>
      </c>
      <c r="D84" s="85"/>
      <c r="E84" s="85"/>
      <c r="F84" s="85"/>
      <c r="G84" s="85"/>
      <c r="H84" s="85"/>
    </row>
    <row r="85" spans="1:9" ht="13.9" thickTop="1" thickBot="1" x14ac:dyDescent="0.45">
      <c r="A85" s="90" t="s">
        <v>66</v>
      </c>
      <c r="B85" s="91">
        <f>+B83+B82</f>
        <v>250000</v>
      </c>
      <c r="C85" s="91">
        <f>+C83+C82</f>
        <v>0</v>
      </c>
      <c r="D85" s="92"/>
      <c r="E85" s="92"/>
      <c r="F85" s="92"/>
      <c r="G85" s="92"/>
      <c r="H85" s="92"/>
    </row>
    <row r="86" spans="1:9" ht="15.75" thickTop="1" thickBot="1" x14ac:dyDescent="0.4">
      <c r="A86" s="93" t="s">
        <v>67</v>
      </c>
      <c r="B86" s="94">
        <f>+B78+B81+B85</f>
        <v>50000</v>
      </c>
      <c r="C86" s="94">
        <f>+C78+C81+C85</f>
        <v>75947</v>
      </c>
      <c r="D86" s="95"/>
      <c r="E86" s="95"/>
      <c r="F86" s="95"/>
      <c r="G86" s="95"/>
      <c r="H86" s="95"/>
    </row>
    <row r="87" spans="1:9" ht="13.9" thickTop="1" thickBot="1" x14ac:dyDescent="0.4">
      <c r="A87" s="96" t="s">
        <v>68</v>
      </c>
      <c r="B87" s="7">
        <v>0</v>
      </c>
      <c r="C87" s="97">
        <f>+B88</f>
        <v>50000</v>
      </c>
      <c r="D87" s="27"/>
      <c r="E87" s="27"/>
      <c r="F87" s="27"/>
      <c r="G87" s="27"/>
      <c r="H87" s="27"/>
    </row>
    <row r="88" spans="1:9" ht="13.9" thickTop="1" thickBot="1" x14ac:dyDescent="0.4">
      <c r="A88" s="98" t="s">
        <v>69</v>
      </c>
      <c r="B88" s="99">
        <f>+B86+B87</f>
        <v>50000</v>
      </c>
      <c r="C88" s="99">
        <f>+C86+C87</f>
        <v>125947</v>
      </c>
      <c r="D88" s="100"/>
      <c r="E88" s="100"/>
      <c r="F88" s="100"/>
      <c r="G88" s="100"/>
      <c r="H88" s="100"/>
    </row>
    <row r="89" spans="1:9" ht="13.15" thickTop="1" x14ac:dyDescent="0.35"/>
    <row r="90" spans="1:9" ht="13.15" thickBot="1" x14ac:dyDescent="0.4"/>
    <row r="91" spans="1:9" ht="13.15" thickTop="1" x14ac:dyDescent="0.35">
      <c r="A91" s="303" t="s">
        <v>53</v>
      </c>
      <c r="B91" s="305" t="s">
        <v>54</v>
      </c>
      <c r="C91" s="307" t="s">
        <v>53</v>
      </c>
      <c r="D91" s="54"/>
      <c r="E91" s="54"/>
      <c r="F91" s="54"/>
      <c r="G91" s="54"/>
      <c r="H91" s="54"/>
      <c r="I91" s="31"/>
    </row>
    <row r="92" spans="1:9" ht="13.15" thickBot="1" x14ac:dyDescent="0.4">
      <c r="A92" s="304"/>
      <c r="B92" s="306"/>
      <c r="C92" s="308"/>
      <c r="D92" s="54"/>
      <c r="E92" s="54"/>
      <c r="F92" s="54"/>
      <c r="G92" s="54"/>
      <c r="H92" s="54"/>
    </row>
    <row r="93" spans="1:9" ht="16.5" customHeight="1" thickTop="1" x14ac:dyDescent="0.4">
      <c r="A93" s="180" t="s">
        <v>55</v>
      </c>
      <c r="B93" s="181">
        <v>0</v>
      </c>
      <c r="C93" s="181">
        <v>1305000</v>
      </c>
      <c r="D93" s="176" t="s">
        <v>73</v>
      </c>
      <c r="E93" s="176"/>
      <c r="F93" s="83"/>
      <c r="G93" s="83"/>
      <c r="H93" s="83"/>
    </row>
    <row r="94" spans="1:9" x14ac:dyDescent="0.35">
      <c r="A94" s="177" t="s">
        <v>56</v>
      </c>
      <c r="B94" s="178">
        <v>0</v>
      </c>
      <c r="C94" s="178">
        <v>-865740</v>
      </c>
      <c r="D94" s="179"/>
      <c r="E94" s="179"/>
      <c r="F94" s="85"/>
      <c r="G94" s="85"/>
      <c r="H94" s="85"/>
    </row>
    <row r="95" spans="1:9" ht="13.15" x14ac:dyDescent="0.4">
      <c r="A95" s="177" t="s">
        <v>57</v>
      </c>
      <c r="B95" s="178">
        <v>0</v>
      </c>
      <c r="C95" s="178">
        <v>-350000</v>
      </c>
      <c r="D95" s="179"/>
      <c r="E95" s="179"/>
      <c r="F95" s="88"/>
      <c r="G95" s="85"/>
      <c r="H95" s="85"/>
    </row>
    <row r="96" spans="1:9" x14ac:dyDescent="0.35">
      <c r="A96" s="68" t="s">
        <v>58</v>
      </c>
      <c r="B96" s="7"/>
      <c r="C96" s="84">
        <v>-5000</v>
      </c>
      <c r="D96" s="85"/>
      <c r="E96" s="85"/>
      <c r="F96" s="85"/>
      <c r="G96" s="85"/>
      <c r="H96" s="85"/>
    </row>
    <row r="97" spans="1:9" ht="13.15" thickBot="1" x14ac:dyDescent="0.4">
      <c r="A97" s="68" t="s">
        <v>59</v>
      </c>
      <c r="B97" s="7"/>
      <c r="C97" s="84">
        <v>-46600</v>
      </c>
      <c r="D97" s="85"/>
      <c r="E97" s="85"/>
      <c r="F97" s="85"/>
      <c r="G97" s="85"/>
      <c r="H97" s="85"/>
    </row>
    <row r="98" spans="1:9" ht="13.9" thickTop="1" thickBot="1" x14ac:dyDescent="0.45">
      <c r="A98" s="86" t="s">
        <v>60</v>
      </c>
      <c r="B98" s="87">
        <f>SUM(B93:B97)</f>
        <v>0</v>
      </c>
      <c r="C98" s="87">
        <f>SUM(C93:C97)</f>
        <v>37660</v>
      </c>
      <c r="D98" s="88"/>
      <c r="E98" s="88"/>
      <c r="F98" s="88"/>
      <c r="G98" s="88"/>
      <c r="H98" s="88"/>
    </row>
    <row r="99" spans="1:9" ht="13.15" thickTop="1" x14ac:dyDescent="0.35">
      <c r="A99" s="75" t="s">
        <v>61</v>
      </c>
      <c r="B99" s="3">
        <v>-200000</v>
      </c>
      <c r="C99" s="57"/>
      <c r="D99" s="85"/>
      <c r="E99" s="85"/>
      <c r="F99" s="85"/>
      <c r="G99" s="85"/>
      <c r="H99" s="85"/>
    </row>
    <row r="100" spans="1:9" ht="13.15" thickBot="1" x14ac:dyDescent="0.4">
      <c r="A100" s="75"/>
      <c r="B100" s="89"/>
      <c r="C100" s="84">
        <f>SUM(B100:B100)</f>
        <v>0</v>
      </c>
      <c r="D100" s="85"/>
      <c r="E100" s="85"/>
      <c r="F100" s="85"/>
      <c r="G100" s="85"/>
      <c r="H100" s="85"/>
    </row>
    <row r="101" spans="1:9" ht="13.9" thickTop="1" thickBot="1" x14ac:dyDescent="0.45">
      <c r="A101" s="86" t="s">
        <v>62</v>
      </c>
      <c r="B101" s="87">
        <f>+B98+B99</f>
        <v>-200000</v>
      </c>
      <c r="C101" s="87">
        <f>+C99</f>
        <v>0</v>
      </c>
      <c r="D101" s="88"/>
      <c r="E101" s="88"/>
      <c r="F101" s="88"/>
      <c r="G101" s="88"/>
      <c r="H101" s="88"/>
    </row>
    <row r="102" spans="1:9" ht="13.15" thickTop="1" x14ac:dyDescent="0.35">
      <c r="A102" s="68" t="s">
        <v>63</v>
      </c>
      <c r="B102" s="7">
        <v>100000</v>
      </c>
      <c r="C102" s="84"/>
      <c r="D102" s="85"/>
      <c r="E102" s="85"/>
      <c r="F102" s="85"/>
      <c r="G102" s="85"/>
      <c r="H102" s="85"/>
    </row>
    <row r="103" spans="1:9" x14ac:dyDescent="0.35">
      <c r="A103" s="68" t="s">
        <v>64</v>
      </c>
      <c r="B103" s="7">
        <v>150000</v>
      </c>
      <c r="C103" s="84"/>
      <c r="D103" s="85"/>
      <c r="E103" s="85"/>
      <c r="F103" s="85"/>
      <c r="G103" s="85"/>
      <c r="H103" s="85"/>
    </row>
    <row r="104" spans="1:9" ht="13.15" thickBot="1" x14ac:dyDescent="0.4">
      <c r="A104" s="68" t="s">
        <v>65</v>
      </c>
      <c r="B104" s="7">
        <f>+B57</f>
        <v>0</v>
      </c>
      <c r="C104" s="84">
        <f>IF(B108+C98+C101+C102+C103&lt;0,-(B108+C98+C101+C102+C103),0)</f>
        <v>0</v>
      </c>
      <c r="D104" s="85"/>
      <c r="E104" s="85"/>
      <c r="F104" s="85"/>
      <c r="G104" s="85"/>
      <c r="H104" s="85"/>
    </row>
    <row r="105" spans="1:9" ht="13.9" thickTop="1" thickBot="1" x14ac:dyDescent="0.45">
      <c r="A105" s="90" t="s">
        <v>66</v>
      </c>
      <c r="B105" s="91">
        <f>+B103+B102</f>
        <v>250000</v>
      </c>
      <c r="C105" s="91">
        <f>+C103+C102</f>
        <v>0</v>
      </c>
      <c r="D105" s="92"/>
      <c r="E105" s="92"/>
      <c r="F105" s="92"/>
      <c r="G105" s="92"/>
      <c r="H105" s="92"/>
    </row>
    <row r="106" spans="1:9" ht="15.75" thickTop="1" thickBot="1" x14ac:dyDescent="0.4">
      <c r="A106" s="93" t="s">
        <v>67</v>
      </c>
      <c r="B106" s="94">
        <f>+B98+B101+B105</f>
        <v>50000</v>
      </c>
      <c r="C106" s="94">
        <f>+C98+C101+C105</f>
        <v>37660</v>
      </c>
      <c r="D106" s="95"/>
      <c r="E106" s="95"/>
      <c r="F106" s="95"/>
      <c r="G106" s="95"/>
      <c r="H106" s="95"/>
    </row>
    <row r="107" spans="1:9" ht="13.9" thickTop="1" thickBot="1" x14ac:dyDescent="0.4">
      <c r="A107" s="96" t="s">
        <v>68</v>
      </c>
      <c r="B107" s="7">
        <v>0</v>
      </c>
      <c r="C107" s="97">
        <f>+B108</f>
        <v>50000</v>
      </c>
      <c r="D107" s="27"/>
      <c r="E107" s="27"/>
      <c r="F107" s="27"/>
      <c r="G107" s="27"/>
      <c r="H107" s="27"/>
    </row>
    <row r="108" spans="1:9" ht="13.9" thickTop="1" thickBot="1" x14ac:dyDescent="0.4">
      <c r="A108" s="98" t="s">
        <v>69</v>
      </c>
      <c r="B108" s="99">
        <f>+B106+B107</f>
        <v>50000</v>
      </c>
      <c r="C108" s="99">
        <f>+C106+C107</f>
        <v>87660</v>
      </c>
      <c r="D108" s="100"/>
      <c r="E108" s="100"/>
      <c r="F108" s="100"/>
      <c r="G108" s="100"/>
      <c r="H108" s="100"/>
    </row>
    <row r="109" spans="1:9" ht="13.15" thickTop="1" x14ac:dyDescent="0.35"/>
    <row r="110" spans="1:9" ht="13.15" thickBot="1" x14ac:dyDescent="0.4"/>
    <row r="111" spans="1:9" ht="13.15" thickTop="1" x14ac:dyDescent="0.35">
      <c r="A111" s="303" t="s">
        <v>53</v>
      </c>
      <c r="B111" s="305" t="s">
        <v>54</v>
      </c>
      <c r="C111" s="307" t="s">
        <v>53</v>
      </c>
      <c r="D111" s="54"/>
      <c r="E111" s="54"/>
      <c r="F111" s="54"/>
      <c r="G111" s="54"/>
      <c r="H111" s="54"/>
      <c r="I111" s="31"/>
    </row>
    <row r="112" spans="1:9" ht="13.15" thickBot="1" x14ac:dyDescent="0.4">
      <c r="A112" s="304"/>
      <c r="B112" s="306"/>
      <c r="C112" s="308"/>
      <c r="D112" s="54"/>
      <c r="E112" s="54"/>
      <c r="F112" s="54"/>
      <c r="G112" s="54"/>
      <c r="H112" s="54"/>
    </row>
    <row r="113" spans="1:8" ht="16.5" customHeight="1" thickTop="1" x14ac:dyDescent="0.35">
      <c r="A113" s="182" t="s">
        <v>55</v>
      </c>
      <c r="B113" s="183">
        <v>0</v>
      </c>
      <c r="C113" s="183">
        <v>1300000</v>
      </c>
      <c r="D113" s="179"/>
      <c r="E113" s="179"/>
      <c r="F113" s="83"/>
      <c r="G113" s="83"/>
      <c r="H113" s="83"/>
    </row>
    <row r="114" spans="1:8" ht="14.25" x14ac:dyDescent="0.45">
      <c r="A114" s="287" t="s">
        <v>56</v>
      </c>
      <c r="B114" s="280">
        <v>0</v>
      </c>
      <c r="C114" s="280">
        <v>-862779</v>
      </c>
      <c r="D114" s="176" t="s">
        <v>119</v>
      </c>
      <c r="E114" s="288"/>
      <c r="F114" s="85"/>
      <c r="G114" s="85"/>
      <c r="H114" s="85"/>
    </row>
    <row r="115" spans="1:8" ht="13.15" x14ac:dyDescent="0.4">
      <c r="A115" s="177" t="s">
        <v>57</v>
      </c>
      <c r="B115" s="178">
        <v>0</v>
      </c>
      <c r="C115" s="178">
        <v>-350000</v>
      </c>
      <c r="D115" s="85"/>
      <c r="E115" s="179"/>
      <c r="F115" s="88"/>
      <c r="G115" s="85"/>
      <c r="H115" s="85"/>
    </row>
    <row r="116" spans="1:8" x14ac:dyDescent="0.35">
      <c r="A116" s="68" t="s">
        <v>58</v>
      </c>
      <c r="B116" s="7"/>
      <c r="C116" s="84">
        <v>-5000</v>
      </c>
      <c r="D116" s="85"/>
      <c r="E116" s="85"/>
      <c r="F116" s="85"/>
      <c r="G116" s="85"/>
      <c r="H116" s="85"/>
    </row>
    <row r="117" spans="1:8" ht="13.15" thickBot="1" x14ac:dyDescent="0.4">
      <c r="A117" s="68" t="s">
        <v>59</v>
      </c>
      <c r="B117" s="7"/>
      <c r="C117" s="84">
        <v>-46600</v>
      </c>
      <c r="D117" s="85"/>
      <c r="E117" s="85"/>
      <c r="F117" s="85"/>
      <c r="G117" s="85"/>
      <c r="H117" s="85"/>
    </row>
    <row r="118" spans="1:8" ht="13.9" thickTop="1" thickBot="1" x14ac:dyDescent="0.45">
      <c r="A118" s="86" t="s">
        <v>60</v>
      </c>
      <c r="B118" s="87">
        <f>SUM(B113:B117)</f>
        <v>0</v>
      </c>
      <c r="C118" s="87">
        <f>SUM(C113:C117)</f>
        <v>35621</v>
      </c>
      <c r="D118" s="88"/>
      <c r="E118" s="88"/>
      <c r="F118" s="88"/>
      <c r="G118" s="88"/>
      <c r="H118" s="88"/>
    </row>
    <row r="119" spans="1:8" ht="13.15" thickTop="1" x14ac:dyDescent="0.35">
      <c r="A119" s="75" t="s">
        <v>61</v>
      </c>
      <c r="B119" s="3">
        <v>-200000</v>
      </c>
      <c r="C119" s="57"/>
      <c r="D119" s="85"/>
      <c r="E119" s="85"/>
      <c r="F119" s="85"/>
      <c r="G119" s="85"/>
      <c r="H119" s="85"/>
    </row>
    <row r="120" spans="1:8" ht="13.15" thickBot="1" x14ac:dyDescent="0.4">
      <c r="A120" s="75"/>
      <c r="B120" s="89"/>
      <c r="C120" s="84">
        <f>SUM(B120:B120)</f>
        <v>0</v>
      </c>
      <c r="D120" s="85"/>
      <c r="E120" s="85"/>
      <c r="F120" s="85"/>
      <c r="G120" s="85"/>
      <c r="H120" s="85"/>
    </row>
    <row r="121" spans="1:8" ht="13.9" thickTop="1" thickBot="1" x14ac:dyDescent="0.45">
      <c r="A121" s="86" t="s">
        <v>62</v>
      </c>
      <c r="B121" s="87">
        <f>+B118+B119</f>
        <v>-200000</v>
      </c>
      <c r="C121" s="87">
        <f>+C119</f>
        <v>0</v>
      </c>
      <c r="D121" s="88"/>
      <c r="E121" s="88"/>
      <c r="F121" s="88"/>
      <c r="G121" s="88"/>
      <c r="H121" s="88"/>
    </row>
    <row r="122" spans="1:8" ht="13.15" thickTop="1" x14ac:dyDescent="0.35">
      <c r="A122" s="68" t="s">
        <v>63</v>
      </c>
      <c r="B122" s="7">
        <v>100000</v>
      </c>
      <c r="C122" s="84"/>
      <c r="D122" s="85"/>
      <c r="E122" s="85"/>
      <c r="F122" s="85"/>
      <c r="G122" s="85"/>
      <c r="H122" s="85"/>
    </row>
    <row r="123" spans="1:8" x14ac:dyDescent="0.35">
      <c r="A123" s="68" t="s">
        <v>64</v>
      </c>
      <c r="B123" s="7">
        <v>150000</v>
      </c>
      <c r="C123" s="84"/>
      <c r="D123" s="85"/>
      <c r="E123" s="85"/>
      <c r="F123" s="85"/>
      <c r="G123" s="85"/>
      <c r="H123" s="85"/>
    </row>
    <row r="124" spans="1:8" ht="13.15" thickBot="1" x14ac:dyDescent="0.4">
      <c r="A124" s="68" t="s">
        <v>65</v>
      </c>
      <c r="B124" s="7">
        <f>+B77</f>
        <v>0</v>
      </c>
      <c r="C124" s="84">
        <f>IF(B128+C118+C121+C122+C123&lt;0,-(B128+C118+C121+C122+C123),0)</f>
        <v>0</v>
      </c>
      <c r="D124" s="85"/>
      <c r="E124" s="85"/>
      <c r="F124" s="85"/>
      <c r="G124" s="85"/>
      <c r="H124" s="85"/>
    </row>
    <row r="125" spans="1:8" ht="13.9" thickTop="1" thickBot="1" x14ac:dyDescent="0.45">
      <c r="A125" s="90" t="s">
        <v>66</v>
      </c>
      <c r="B125" s="91">
        <f>+B123+B122</f>
        <v>250000</v>
      </c>
      <c r="C125" s="91">
        <f>+C123+C122</f>
        <v>0</v>
      </c>
      <c r="D125" s="92"/>
      <c r="E125" s="92"/>
      <c r="F125" s="92"/>
      <c r="G125" s="92"/>
      <c r="H125" s="92"/>
    </row>
    <row r="126" spans="1:8" ht="15.75" thickTop="1" thickBot="1" x14ac:dyDescent="0.4">
      <c r="A126" s="93" t="s">
        <v>67</v>
      </c>
      <c r="B126" s="94">
        <f>+B118+B121+B125</f>
        <v>50000</v>
      </c>
      <c r="C126" s="94">
        <f>+C118+C121+C125</f>
        <v>35621</v>
      </c>
      <c r="D126" s="95"/>
      <c r="E126" s="95"/>
      <c r="F126" s="95"/>
      <c r="G126" s="95"/>
      <c r="H126" s="95"/>
    </row>
    <row r="127" spans="1:8" ht="13.9" thickTop="1" thickBot="1" x14ac:dyDescent="0.4">
      <c r="A127" s="96" t="s">
        <v>68</v>
      </c>
      <c r="B127" s="7">
        <v>0</v>
      </c>
      <c r="C127" s="97">
        <f>+B128</f>
        <v>50000</v>
      </c>
      <c r="D127" s="27"/>
      <c r="E127" s="27"/>
      <c r="F127" s="27"/>
      <c r="G127" s="27"/>
      <c r="H127" s="27"/>
    </row>
    <row r="128" spans="1:8" ht="13.9" thickTop="1" thickBot="1" x14ac:dyDescent="0.4">
      <c r="A128" s="98" t="s">
        <v>69</v>
      </c>
      <c r="B128" s="99">
        <f>+B126+B127</f>
        <v>50000</v>
      </c>
      <c r="C128" s="99">
        <f>+C126+C127</f>
        <v>85621</v>
      </c>
      <c r="D128" s="100"/>
      <c r="E128" s="100"/>
      <c r="F128" s="100"/>
      <c r="G128" s="100"/>
      <c r="H128" s="100"/>
    </row>
    <row r="129" ht="13.15" thickTop="1" x14ac:dyDescent="0.35"/>
  </sheetData>
  <mergeCells count="47">
    <mergeCell ref="A1:I1"/>
    <mergeCell ref="A91:A92"/>
    <mergeCell ref="B91:B92"/>
    <mergeCell ref="C91:C92"/>
    <mergeCell ref="A111:A112"/>
    <mergeCell ref="B111:B112"/>
    <mergeCell ref="C111:C112"/>
    <mergeCell ref="A51:A52"/>
    <mergeCell ref="B51:B52"/>
    <mergeCell ref="C51:C52"/>
    <mergeCell ref="A71:A72"/>
    <mergeCell ref="B71:B72"/>
    <mergeCell ref="C71:C72"/>
    <mergeCell ref="A36:A37"/>
    <mergeCell ref="B36:B37"/>
    <mergeCell ref="C36:C37"/>
    <mergeCell ref="H11:H12"/>
    <mergeCell ref="H20:H21"/>
    <mergeCell ref="A28:A29"/>
    <mergeCell ref="B28:B29"/>
    <mergeCell ref="C28:F28"/>
    <mergeCell ref="I11:I12"/>
    <mergeCell ref="A20:A21"/>
    <mergeCell ref="B20:B21"/>
    <mergeCell ref="C20:C21"/>
    <mergeCell ref="D20:D21"/>
    <mergeCell ref="E20:E21"/>
    <mergeCell ref="F20:F21"/>
    <mergeCell ref="G20:G21"/>
    <mergeCell ref="A11:A12"/>
    <mergeCell ref="B11:B12"/>
    <mergeCell ref="C11:C12"/>
    <mergeCell ref="D11:D12"/>
    <mergeCell ref="E11:E12"/>
    <mergeCell ref="F11:F12"/>
    <mergeCell ref="I20:I21"/>
    <mergeCell ref="G11:G12"/>
    <mergeCell ref="A2:I2"/>
    <mergeCell ref="A3:A4"/>
    <mergeCell ref="B3:B4"/>
    <mergeCell ref="C3:C4"/>
    <mergeCell ref="D3:D4"/>
    <mergeCell ref="E3:E4"/>
    <mergeCell ref="F3:F4"/>
    <mergeCell ref="G3:G4"/>
    <mergeCell ref="H3:H4"/>
    <mergeCell ref="I3:I4"/>
  </mergeCells>
  <pageMargins left="0.75" right="0.75" top="0.72" bottom="1" header="0" footer="0"/>
  <pageSetup paperSize="9" orientation="landscape" horizontalDpi="4294967293" r:id="rId1"/>
  <headerFooter alignWithMargins="0"/>
  <rowBreaks count="1" manualBreakCount="1">
    <brk id="26"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5C6C1-A667-4166-B7E0-5D5556B26917}">
  <dimension ref="A1:K103"/>
  <sheetViews>
    <sheetView topLeftCell="A25" workbookViewId="0">
      <selection activeCell="E71" sqref="E71"/>
    </sheetView>
  </sheetViews>
  <sheetFormatPr baseColWidth="10" defaultRowHeight="12.75" x14ac:dyDescent="0.35"/>
  <cols>
    <col min="1" max="1" width="22.265625" customWidth="1"/>
    <col min="2" max="3" width="14.73046875" customWidth="1"/>
    <col min="6" max="6" width="17.9296875" customWidth="1"/>
  </cols>
  <sheetData>
    <row r="1" spans="1:9" ht="392.25" customHeight="1" thickBot="1" x14ac:dyDescent="0.4">
      <c r="A1" s="389" t="s">
        <v>124</v>
      </c>
      <c r="B1" s="390"/>
      <c r="C1" s="390"/>
      <c r="D1" s="390"/>
      <c r="E1" s="390"/>
      <c r="F1" s="390"/>
      <c r="G1" s="390"/>
      <c r="H1" s="390"/>
      <c r="I1" s="390"/>
    </row>
    <row r="2" spans="1:9" ht="18" thickTop="1" thickBot="1" x14ac:dyDescent="0.5">
      <c r="A2" s="336" t="s">
        <v>0</v>
      </c>
      <c r="B2" s="337"/>
      <c r="C2" s="337"/>
      <c r="D2" s="337"/>
      <c r="E2" s="337"/>
      <c r="F2" s="337"/>
      <c r="G2" s="337"/>
      <c r="H2" s="337"/>
      <c r="I2" s="338"/>
    </row>
    <row r="3" spans="1:9" ht="13.15" thickTop="1" x14ac:dyDescent="0.35">
      <c r="A3" s="339" t="s">
        <v>1</v>
      </c>
      <c r="B3" s="341" t="s">
        <v>2</v>
      </c>
      <c r="C3" s="343">
        <v>1</v>
      </c>
      <c r="D3" s="343">
        <f>+C3+1</f>
        <v>2</v>
      </c>
      <c r="E3" s="343">
        <f>+D3+1</f>
        <v>3</v>
      </c>
      <c r="F3" s="343">
        <f>+E3+1</f>
        <v>4</v>
      </c>
      <c r="G3" s="343">
        <f>+F3+1</f>
        <v>5</v>
      </c>
      <c r="H3" s="343">
        <f>+G3+1</f>
        <v>6</v>
      </c>
      <c r="I3" s="345" t="s">
        <v>3</v>
      </c>
    </row>
    <row r="4" spans="1:9" ht="13.15" thickBot="1" x14ac:dyDescent="0.4">
      <c r="A4" s="340"/>
      <c r="B4" s="342"/>
      <c r="C4" s="344"/>
      <c r="D4" s="344"/>
      <c r="E4" s="344"/>
      <c r="F4" s="344"/>
      <c r="G4" s="344"/>
      <c r="H4" s="344"/>
      <c r="I4" s="346"/>
    </row>
    <row r="5" spans="1:9" ht="13.15" thickTop="1" x14ac:dyDescent="0.35">
      <c r="A5" s="2" t="str">
        <f>+'[1]Complementos de mujer'!A5</f>
        <v>Canon</v>
      </c>
      <c r="B5" s="57">
        <f>IF(B$24=0,0,D99)</f>
        <v>200000</v>
      </c>
      <c r="C5" s="216"/>
      <c r="D5" s="217"/>
      <c r="E5" s="217"/>
      <c r="F5" s="218">
        <f>IF($D$43=1,B43,0)</f>
        <v>-20000</v>
      </c>
      <c r="G5" s="217"/>
      <c r="H5" s="219"/>
      <c r="I5" s="57">
        <f>SUM(B5:H5)</f>
        <v>180000</v>
      </c>
    </row>
    <row r="6" spans="1:9" x14ac:dyDescent="0.35">
      <c r="A6" s="2" t="s">
        <v>5</v>
      </c>
      <c r="B6" s="84">
        <v>0</v>
      </c>
      <c r="C6" s="216"/>
      <c r="D6" s="218">
        <v>59215</v>
      </c>
      <c r="E6" s="218"/>
      <c r="F6" s="218"/>
      <c r="G6" s="218"/>
      <c r="H6" s="220"/>
      <c r="I6" s="84">
        <f>SUM(B6:H6)</f>
        <v>59215</v>
      </c>
    </row>
    <row r="7" spans="1:9" x14ac:dyDescent="0.35">
      <c r="A7" s="2" t="s">
        <v>6</v>
      </c>
      <c r="B7" s="84">
        <v>0</v>
      </c>
      <c r="C7" s="216">
        <v>100000</v>
      </c>
      <c r="D7" s="218"/>
      <c r="E7" s="218"/>
      <c r="F7" s="218"/>
      <c r="G7" s="218"/>
      <c r="H7" s="220"/>
      <c r="I7" s="84">
        <f>SUM(B7:H7)</f>
        <v>100000</v>
      </c>
    </row>
    <row r="8" spans="1:9" ht="13.15" thickBot="1" x14ac:dyDescent="0.4">
      <c r="A8" s="2" t="s">
        <v>7</v>
      </c>
      <c r="B8" s="84">
        <f>IF(B$24=0,0,B21+B13-B5)</f>
        <v>50000</v>
      </c>
      <c r="C8" s="216">
        <f>IF($D$37=1,B38-C7,0)</f>
        <v>1300000</v>
      </c>
      <c r="D8" s="218">
        <v>-865740</v>
      </c>
      <c r="E8" s="218">
        <f>IF($D$41=1,C54,0)</f>
        <v>-350000</v>
      </c>
      <c r="G8" s="218">
        <f>IF($D$45=1,C55,0)</f>
        <v>-5000</v>
      </c>
      <c r="H8" s="220">
        <f>IF($D$47=1,C56,0)</f>
        <v>-46600</v>
      </c>
      <c r="I8" s="84">
        <f>SUM(B8:H8)</f>
        <v>82660</v>
      </c>
    </row>
    <row r="9" spans="1:9" ht="15.75" thickTop="1" thickBot="1" x14ac:dyDescent="0.4">
      <c r="A9" s="8" t="s">
        <v>8</v>
      </c>
      <c r="B9" s="9">
        <f t="shared" ref="B9:I9" si="0">SUM(B5:B8)</f>
        <v>250000</v>
      </c>
      <c r="C9" s="221">
        <f t="shared" si="0"/>
        <v>1400000</v>
      </c>
      <c r="D9" s="10">
        <f t="shared" si="0"/>
        <v>-806525</v>
      </c>
      <c r="E9" s="10">
        <f t="shared" si="0"/>
        <v>-350000</v>
      </c>
      <c r="F9" s="10">
        <f t="shared" si="0"/>
        <v>-20000</v>
      </c>
      <c r="G9" s="10">
        <f t="shared" si="0"/>
        <v>-5000</v>
      </c>
      <c r="H9" s="10">
        <f t="shared" si="0"/>
        <v>-46600</v>
      </c>
      <c r="I9" s="9">
        <f t="shared" si="0"/>
        <v>421875</v>
      </c>
    </row>
    <row r="10" spans="1:9" ht="15.75" thickTop="1" thickBot="1" x14ac:dyDescent="0.4">
      <c r="A10" s="11"/>
      <c r="B10" s="12"/>
      <c r="C10" s="12"/>
      <c r="D10" s="12"/>
      <c r="E10" s="12"/>
      <c r="F10" s="12"/>
      <c r="G10" s="12"/>
      <c r="H10" s="12"/>
      <c r="I10" s="222"/>
    </row>
    <row r="11" spans="1:9" ht="13.15" thickTop="1" x14ac:dyDescent="0.35">
      <c r="A11" s="332" t="s">
        <v>9</v>
      </c>
      <c r="B11" s="326" t="str">
        <f t="shared" ref="B11:I11" si="1">+B3</f>
        <v>BALANCE INICIAL</v>
      </c>
      <c r="C11" s="334">
        <f t="shared" si="1"/>
        <v>1</v>
      </c>
      <c r="D11" s="324">
        <f t="shared" si="1"/>
        <v>2</v>
      </c>
      <c r="E11" s="324">
        <f t="shared" si="1"/>
        <v>3</v>
      </c>
      <c r="F11" s="324">
        <f t="shared" si="1"/>
        <v>4</v>
      </c>
      <c r="G11" s="324">
        <f t="shared" si="1"/>
        <v>5</v>
      </c>
      <c r="H11" s="387">
        <f t="shared" si="1"/>
        <v>6</v>
      </c>
      <c r="I11" s="326" t="str">
        <f t="shared" si="1"/>
        <v>BALANCE FINAL</v>
      </c>
    </row>
    <row r="12" spans="1:9" ht="13.15" thickBot="1" x14ac:dyDescent="0.4">
      <c r="A12" s="333"/>
      <c r="B12" s="327"/>
      <c r="C12" s="335"/>
      <c r="D12" s="325"/>
      <c r="E12" s="325"/>
      <c r="F12" s="325"/>
      <c r="G12" s="325"/>
      <c r="H12" s="388"/>
      <c r="I12" s="327"/>
    </row>
    <row r="13" spans="1:9" ht="13.15" thickTop="1" x14ac:dyDescent="0.35">
      <c r="A13" s="14" t="s">
        <v>10</v>
      </c>
      <c r="B13" s="57">
        <f>IF(B$24=0,0,D100)</f>
        <v>100000</v>
      </c>
      <c r="C13" s="223"/>
      <c r="D13" s="217"/>
      <c r="E13" s="217"/>
      <c r="F13" s="217"/>
      <c r="G13" s="217"/>
      <c r="H13" s="219"/>
      <c r="I13" s="84">
        <f>SUM(B13:H13)</f>
        <v>100000</v>
      </c>
    </row>
    <row r="14" spans="1:9" x14ac:dyDescent="0.35">
      <c r="A14" s="2" t="s">
        <v>11</v>
      </c>
      <c r="B14" s="84"/>
      <c r="C14" s="216"/>
      <c r="D14" s="218">
        <v>32075</v>
      </c>
      <c r="E14" s="218"/>
      <c r="F14" s="218"/>
      <c r="G14" s="218"/>
      <c r="H14" s="220"/>
      <c r="I14" s="84">
        <f>SUM(B14:H14)</f>
        <v>32075</v>
      </c>
    </row>
    <row r="15" spans="1:9" x14ac:dyDescent="0.35">
      <c r="A15" s="2" t="s">
        <v>12</v>
      </c>
      <c r="B15" s="84"/>
      <c r="C15" s="216"/>
      <c r="D15" s="218"/>
      <c r="E15" s="218"/>
      <c r="F15" s="218"/>
      <c r="G15" s="218"/>
      <c r="H15" s="220"/>
      <c r="I15" s="84">
        <f>SUM(B15:H15)</f>
        <v>0</v>
      </c>
    </row>
    <row r="16" spans="1:9" ht="13.15" thickBot="1" x14ac:dyDescent="0.4">
      <c r="A16" s="2" t="s">
        <v>13</v>
      </c>
      <c r="B16" s="84"/>
      <c r="C16" s="216"/>
      <c r="D16" s="218"/>
      <c r="E16" s="218"/>
      <c r="F16" s="218"/>
      <c r="G16" s="218"/>
      <c r="H16" s="220"/>
      <c r="I16" s="84">
        <f>SUM(B16:H16)</f>
        <v>0</v>
      </c>
    </row>
    <row r="17" spans="1:11" ht="13.9" thickTop="1" thickBot="1" x14ac:dyDescent="0.45">
      <c r="A17" s="17" t="s">
        <v>15</v>
      </c>
      <c r="B17" s="18">
        <f t="shared" ref="B17:I17" si="2">SUM(B13:B16)</f>
        <v>100000</v>
      </c>
      <c r="C17" s="224">
        <f t="shared" si="2"/>
        <v>0</v>
      </c>
      <c r="D17" s="18">
        <f t="shared" si="2"/>
        <v>32075</v>
      </c>
      <c r="E17" s="18">
        <f t="shared" si="2"/>
        <v>0</v>
      </c>
      <c r="F17" s="18">
        <f t="shared" si="2"/>
        <v>0</v>
      </c>
      <c r="G17" s="18">
        <f t="shared" si="2"/>
        <v>0</v>
      </c>
      <c r="H17" s="225">
        <f t="shared" si="2"/>
        <v>0</v>
      </c>
      <c r="I17" s="18">
        <f t="shared" si="2"/>
        <v>132075</v>
      </c>
      <c r="K17" s="31"/>
    </row>
    <row r="18" spans="1:11" ht="13.9" thickTop="1" thickBot="1" x14ac:dyDescent="0.45">
      <c r="A18" s="19"/>
      <c r="B18" s="12"/>
      <c r="C18" s="226"/>
      <c r="D18" s="226"/>
      <c r="E18" s="226"/>
      <c r="F18" s="226"/>
      <c r="G18" s="226"/>
      <c r="H18" s="226"/>
      <c r="I18" s="222"/>
    </row>
    <row r="19" spans="1:11" ht="13.15" thickTop="1" x14ac:dyDescent="0.35">
      <c r="A19" s="328" t="s">
        <v>16</v>
      </c>
      <c r="B19" s="311" t="s">
        <v>2</v>
      </c>
      <c r="C19" s="330">
        <f t="shared" ref="C19:H19" si="3">+C11</f>
        <v>1</v>
      </c>
      <c r="D19" s="309">
        <f t="shared" si="3"/>
        <v>2</v>
      </c>
      <c r="E19" s="309">
        <f t="shared" si="3"/>
        <v>3</v>
      </c>
      <c r="F19" s="309">
        <f t="shared" si="3"/>
        <v>4</v>
      </c>
      <c r="G19" s="309">
        <f t="shared" si="3"/>
        <v>5</v>
      </c>
      <c r="H19" s="391">
        <f t="shared" si="3"/>
        <v>6</v>
      </c>
      <c r="I19" s="311" t="s">
        <v>3</v>
      </c>
    </row>
    <row r="20" spans="1:11" ht="13.15" thickBot="1" x14ac:dyDescent="0.4">
      <c r="A20" s="329"/>
      <c r="B20" s="312"/>
      <c r="C20" s="331"/>
      <c r="D20" s="310"/>
      <c r="E20" s="310"/>
      <c r="F20" s="310"/>
      <c r="G20" s="310"/>
      <c r="H20" s="392"/>
      <c r="I20" s="312"/>
    </row>
    <row r="21" spans="1:11" ht="13.15" thickTop="1" x14ac:dyDescent="0.35">
      <c r="A21" s="14" t="s">
        <v>17</v>
      </c>
      <c r="B21" s="57">
        <f>IF(B$24=0,0,D101)</f>
        <v>150000</v>
      </c>
      <c r="C21" s="223"/>
      <c r="D21" s="217"/>
      <c r="E21" s="217"/>
      <c r="F21" s="217"/>
      <c r="G21" s="217"/>
      <c r="H21" s="219"/>
      <c r="I21" s="57">
        <f>SUM(B21:H21)</f>
        <v>150000</v>
      </c>
    </row>
    <row r="22" spans="1:11" ht="13.15" thickBot="1" x14ac:dyDescent="0.4">
      <c r="A22" s="22" t="s">
        <v>18</v>
      </c>
      <c r="B22" s="84"/>
      <c r="C22" s="216">
        <f>IF($D$37=1,B37,0)</f>
        <v>1400000</v>
      </c>
      <c r="D22" s="227">
        <f>IF($D$39=1,B39,0)</f>
        <v>-838600</v>
      </c>
      <c r="E22" s="218">
        <f>IF($D$41=1,B41,0)</f>
        <v>-350000</v>
      </c>
      <c r="F22" s="218">
        <f>IF($D$43=1,B43,0)</f>
        <v>-20000</v>
      </c>
      <c r="G22" s="218">
        <f>IF($D$45=1,B45,0)</f>
        <v>-5000</v>
      </c>
      <c r="H22" s="220">
        <f>IF($D$47=1,B47,0)</f>
        <v>-46600</v>
      </c>
      <c r="I22" s="84">
        <f>SUM(B22:H22)</f>
        <v>139800</v>
      </c>
    </row>
    <row r="23" spans="1:11" ht="15.75" thickTop="1" thickBot="1" x14ac:dyDescent="0.4">
      <c r="A23" s="23" t="s">
        <v>19</v>
      </c>
      <c r="B23" s="24">
        <f t="shared" ref="B23:I23" si="4">SUM(B21:B22)</f>
        <v>150000</v>
      </c>
      <c r="C23" s="228">
        <f t="shared" si="4"/>
        <v>1400000</v>
      </c>
      <c r="D23" s="24">
        <f t="shared" si="4"/>
        <v>-838600</v>
      </c>
      <c r="E23" s="24">
        <f t="shared" si="4"/>
        <v>-350000</v>
      </c>
      <c r="F23" s="24">
        <f t="shared" si="4"/>
        <v>-20000</v>
      </c>
      <c r="G23" s="24">
        <f t="shared" si="4"/>
        <v>-5000</v>
      </c>
      <c r="H23" s="229">
        <f t="shared" si="4"/>
        <v>-46600</v>
      </c>
      <c r="I23" s="24">
        <f t="shared" si="4"/>
        <v>289800</v>
      </c>
    </row>
    <row r="24" spans="1:11" ht="15.4" thickTop="1" x14ac:dyDescent="0.35">
      <c r="A24" s="230"/>
      <c r="B24" s="26">
        <v>1</v>
      </c>
      <c r="C24" s="231"/>
      <c r="D24" s="231"/>
      <c r="E24" s="231"/>
      <c r="F24" s="231"/>
      <c r="G24" s="231"/>
      <c r="H24" s="231"/>
      <c r="I24" s="231"/>
    </row>
    <row r="25" spans="1:11" x14ac:dyDescent="0.35">
      <c r="A25" s="232" t="s">
        <v>20</v>
      </c>
      <c r="B25" s="29">
        <f t="shared" ref="B25:I25" si="5">+B9-B17-B23</f>
        <v>0</v>
      </c>
      <c r="C25" s="29">
        <f t="shared" si="5"/>
        <v>0</v>
      </c>
      <c r="D25" s="29">
        <f t="shared" si="5"/>
        <v>0</v>
      </c>
      <c r="E25" s="29">
        <f t="shared" si="5"/>
        <v>0</v>
      </c>
      <c r="F25" s="29">
        <f t="shared" si="5"/>
        <v>0</v>
      </c>
      <c r="G25" s="29">
        <f t="shared" si="5"/>
        <v>0</v>
      </c>
      <c r="H25" s="29">
        <f t="shared" si="5"/>
        <v>0</v>
      </c>
      <c r="I25" s="29">
        <f t="shared" si="5"/>
        <v>0</v>
      </c>
    </row>
    <row r="26" spans="1:11" x14ac:dyDescent="0.35">
      <c r="B26" s="31">
        <f>+B9-B17-B23</f>
        <v>0</v>
      </c>
      <c r="C26" s="31"/>
      <c r="D26" s="31"/>
      <c r="E26" s="31"/>
      <c r="F26" s="31"/>
      <c r="G26" s="233"/>
      <c r="H26" s="234"/>
      <c r="I26" s="234"/>
    </row>
    <row r="27" spans="1:11" x14ac:dyDescent="0.35">
      <c r="G27" s="233"/>
      <c r="H27" s="234"/>
      <c r="I27" s="234"/>
    </row>
    <row r="28" spans="1:11" x14ac:dyDescent="0.35">
      <c r="G28" s="233"/>
      <c r="H28" s="234"/>
      <c r="I28" s="234"/>
    </row>
    <row r="29" spans="1:11" x14ac:dyDescent="0.35">
      <c r="G29" s="233"/>
      <c r="H29" s="234"/>
      <c r="I29" s="234"/>
    </row>
    <row r="30" spans="1:11" x14ac:dyDescent="0.35">
      <c r="G30" s="233"/>
      <c r="H30" s="234"/>
      <c r="I30" s="234"/>
    </row>
    <row r="31" spans="1:11" x14ac:dyDescent="0.35">
      <c r="G31" s="233"/>
      <c r="H31" s="234"/>
      <c r="I31" s="234"/>
    </row>
    <row r="32" spans="1:11" x14ac:dyDescent="0.35">
      <c r="G32" s="233"/>
      <c r="H32" s="234"/>
      <c r="I32" s="234"/>
    </row>
    <row r="33" spans="1:9" x14ac:dyDescent="0.35">
      <c r="G33" s="233"/>
      <c r="H33" s="234"/>
      <c r="I33" s="234"/>
    </row>
    <row r="34" spans="1:9" ht="13.15" thickBot="1" x14ac:dyDescent="0.4">
      <c r="B34" s="31"/>
      <c r="C34" s="31"/>
      <c r="D34" s="31"/>
      <c r="E34" s="31"/>
      <c r="F34" s="31"/>
      <c r="G34" s="233"/>
      <c r="H34" s="234"/>
      <c r="I34" s="234"/>
    </row>
    <row r="35" spans="1:9" ht="13.15" thickTop="1" x14ac:dyDescent="0.35">
      <c r="A35" s="318" t="s">
        <v>32</v>
      </c>
      <c r="B35" s="320" t="s">
        <v>33</v>
      </c>
      <c r="C35" s="322" t="s">
        <v>34</v>
      </c>
      <c r="D35" s="235"/>
      <c r="E35" s="235"/>
    </row>
    <row r="36" spans="1:9" ht="13.15" thickBot="1" x14ac:dyDescent="0.4">
      <c r="A36" s="319"/>
      <c r="B36" s="321"/>
      <c r="C36" s="323"/>
    </row>
    <row r="37" spans="1:9" ht="13.5" thickTop="1" x14ac:dyDescent="0.4">
      <c r="A37" s="56" t="s">
        <v>35</v>
      </c>
      <c r="B37" s="57">
        <f>IF($D37=1,G78,0)</f>
        <v>1400000</v>
      </c>
      <c r="C37" s="58">
        <f t="shared" ref="C37:C48" si="6">+B37/$B$37</f>
        <v>1</v>
      </c>
      <c r="D37" s="26">
        <v>1</v>
      </c>
      <c r="E37" s="59" t="s">
        <v>36</v>
      </c>
    </row>
    <row r="38" spans="1:9" ht="13.5" thickBot="1" x14ac:dyDescent="0.45">
      <c r="A38" s="60" t="s">
        <v>37</v>
      </c>
      <c r="B38" s="61">
        <f>+B37</f>
        <v>1400000</v>
      </c>
      <c r="C38" s="62">
        <f t="shared" si="6"/>
        <v>1</v>
      </c>
    </row>
    <row r="39" spans="1:9" ht="13.15" thickTop="1" x14ac:dyDescent="0.35">
      <c r="A39" s="63" t="s">
        <v>38</v>
      </c>
      <c r="B39" s="57">
        <f>IF($D39=1,G80,0)</f>
        <v>-838600</v>
      </c>
      <c r="C39" s="64">
        <f t="shared" si="6"/>
        <v>-0.59899999999999998</v>
      </c>
      <c r="D39" s="26">
        <v>1</v>
      </c>
      <c r="E39" s="59" t="s">
        <v>39</v>
      </c>
    </row>
    <row r="40" spans="1:9" ht="13.15" x14ac:dyDescent="0.4">
      <c r="A40" s="65" t="s">
        <v>40</v>
      </c>
      <c r="B40" s="66">
        <f>+B37+B39</f>
        <v>561400</v>
      </c>
      <c r="C40" s="67">
        <f t="shared" si="6"/>
        <v>0.40100000000000002</v>
      </c>
    </row>
    <row r="41" spans="1:9" x14ac:dyDescent="0.35">
      <c r="A41" s="68" t="s">
        <v>41</v>
      </c>
      <c r="B41" s="69">
        <f>IF($D41=1,-D85,0)</f>
        <v>-350000</v>
      </c>
      <c r="C41" s="70">
        <f t="shared" si="6"/>
        <v>-0.25</v>
      </c>
      <c r="D41" s="26">
        <v>1</v>
      </c>
      <c r="E41" s="59" t="s">
        <v>42</v>
      </c>
    </row>
    <row r="42" spans="1:9" ht="13.15" x14ac:dyDescent="0.4">
      <c r="A42" s="71" t="s">
        <v>43</v>
      </c>
      <c r="B42" s="72">
        <f>+B40+B41</f>
        <v>211400</v>
      </c>
      <c r="C42" s="67">
        <f t="shared" si="6"/>
        <v>0.151</v>
      </c>
      <c r="F42" s="73"/>
      <c r="G42" s="73"/>
      <c r="H42" s="73"/>
    </row>
    <row r="43" spans="1:9" x14ac:dyDescent="0.35">
      <c r="A43" s="68" t="s">
        <v>44</v>
      </c>
      <c r="B43" s="69">
        <f>IF($D43=1,-B5/10,0)</f>
        <v>-20000</v>
      </c>
      <c r="C43" s="70">
        <f t="shared" si="6"/>
        <v>-1.4285714285714285E-2</v>
      </c>
      <c r="D43" s="26">
        <v>1</v>
      </c>
      <c r="E43" s="59" t="s">
        <v>45</v>
      </c>
      <c r="F43" s="74"/>
      <c r="G43" s="74"/>
      <c r="H43" s="74"/>
    </row>
    <row r="44" spans="1:9" ht="13.15" x14ac:dyDescent="0.4">
      <c r="A44" s="71" t="s">
        <v>46</v>
      </c>
      <c r="B44" s="72">
        <f>+B42+B43</f>
        <v>191400</v>
      </c>
      <c r="C44" s="67">
        <f t="shared" si="6"/>
        <v>0.1367142857142857</v>
      </c>
      <c r="F44" s="73"/>
      <c r="G44" s="73"/>
      <c r="H44" s="73"/>
    </row>
    <row r="45" spans="1:9" x14ac:dyDescent="0.35">
      <c r="A45" s="75" t="s">
        <v>47</v>
      </c>
      <c r="B45" s="69">
        <f>IF($D45=1,-B13*D86,0)</f>
        <v>-5000</v>
      </c>
      <c r="C45" s="70">
        <f t="shared" si="6"/>
        <v>-3.5714285714285713E-3</v>
      </c>
      <c r="D45" s="26">
        <v>1</v>
      </c>
      <c r="E45" s="59" t="s">
        <v>48</v>
      </c>
      <c r="F45" s="74"/>
      <c r="G45" s="74"/>
      <c r="H45" s="74"/>
    </row>
    <row r="46" spans="1:9" ht="13.15" x14ac:dyDescent="0.4">
      <c r="A46" s="71" t="s">
        <v>49</v>
      </c>
      <c r="B46" s="72">
        <f>+B44+B45</f>
        <v>186400</v>
      </c>
      <c r="C46" s="67">
        <f t="shared" si="6"/>
        <v>0.13314285714285715</v>
      </c>
      <c r="F46" s="73"/>
      <c r="G46" s="73"/>
      <c r="H46" s="73"/>
    </row>
    <row r="47" spans="1:9" x14ac:dyDescent="0.35">
      <c r="A47" s="68" t="s">
        <v>99</v>
      </c>
      <c r="B47" s="69">
        <f>IF($D47=1,-B46*D87,0)</f>
        <v>-46600</v>
      </c>
      <c r="C47" s="70">
        <f t="shared" si="6"/>
        <v>-3.3285714285714287E-2</v>
      </c>
      <c r="D47" s="26">
        <v>1</v>
      </c>
      <c r="E47" s="59" t="s">
        <v>51</v>
      </c>
      <c r="F47" s="74"/>
      <c r="G47" s="74"/>
      <c r="H47" s="74"/>
    </row>
    <row r="48" spans="1:9" ht="15" x14ac:dyDescent="0.35">
      <c r="A48" s="76" t="s">
        <v>52</v>
      </c>
      <c r="B48" s="77">
        <f>+B46+B47</f>
        <v>139800</v>
      </c>
      <c r="C48" s="78">
        <f t="shared" si="6"/>
        <v>9.9857142857142853E-2</v>
      </c>
      <c r="D48" s="79"/>
      <c r="E48" s="79"/>
      <c r="F48" s="79"/>
      <c r="G48" s="79"/>
      <c r="H48" s="79"/>
    </row>
    <row r="50" spans="1:9" ht="13.15" hidden="1" thickTop="1" x14ac:dyDescent="0.35">
      <c r="A50" s="303" t="s">
        <v>53</v>
      </c>
      <c r="B50" s="305" t="s">
        <v>54</v>
      </c>
      <c r="C50" s="307" t="s">
        <v>53</v>
      </c>
      <c r="D50" s="235"/>
      <c r="E50" s="235"/>
      <c r="F50" s="235"/>
      <c r="G50" s="235"/>
      <c r="H50" s="235">
        <f>+H49*C40</f>
        <v>0</v>
      </c>
      <c r="I50" s="31"/>
    </row>
    <row r="51" spans="1:9" ht="13.15" hidden="1" thickBot="1" x14ac:dyDescent="0.4">
      <c r="A51" s="304"/>
      <c r="B51" s="306"/>
      <c r="C51" s="308"/>
      <c r="D51" s="235"/>
      <c r="E51" s="235"/>
      <c r="F51" s="235"/>
      <c r="G51" s="235"/>
      <c r="H51" s="235"/>
    </row>
    <row r="52" spans="1:9" ht="13.15" hidden="1" thickTop="1" x14ac:dyDescent="0.35">
      <c r="A52" s="80" t="s">
        <v>55</v>
      </c>
      <c r="B52" s="82">
        <v>0</v>
      </c>
      <c r="C52" s="82">
        <f>+C8</f>
        <v>1300000</v>
      </c>
      <c r="D52" s="236"/>
      <c r="E52" s="236"/>
      <c r="F52" s="236"/>
      <c r="G52" s="236"/>
      <c r="H52" s="236"/>
    </row>
    <row r="53" spans="1:9" hidden="1" x14ac:dyDescent="0.35">
      <c r="A53" s="75" t="s">
        <v>56</v>
      </c>
      <c r="B53" s="84">
        <v>0</v>
      </c>
      <c r="C53" s="84">
        <f>+D8</f>
        <v>-865740</v>
      </c>
      <c r="D53" s="31"/>
      <c r="E53" s="31"/>
      <c r="F53" s="31"/>
      <c r="G53" s="31"/>
      <c r="H53" s="31"/>
    </row>
    <row r="54" spans="1:9" hidden="1" x14ac:dyDescent="0.35">
      <c r="A54" s="68" t="s">
        <v>57</v>
      </c>
      <c r="B54" s="84">
        <v>0</v>
      </c>
      <c r="C54" s="84">
        <f>+B41</f>
        <v>-350000</v>
      </c>
      <c r="D54" s="31"/>
      <c r="E54" s="31"/>
      <c r="F54" s="31"/>
      <c r="G54" s="31"/>
      <c r="H54" s="31"/>
    </row>
    <row r="55" spans="1:9" hidden="1" x14ac:dyDescent="0.35">
      <c r="A55" s="68" t="s">
        <v>58</v>
      </c>
      <c r="B55" s="84"/>
      <c r="C55" s="84">
        <f>+B45</f>
        <v>-5000</v>
      </c>
      <c r="D55" s="31"/>
      <c r="E55" s="31"/>
      <c r="F55" s="31"/>
      <c r="G55" s="31"/>
      <c r="H55" s="31"/>
    </row>
    <row r="56" spans="1:9" ht="13.15" hidden="1" thickBot="1" x14ac:dyDescent="0.4">
      <c r="A56" s="68" t="s">
        <v>100</v>
      </c>
      <c r="B56" s="84"/>
      <c r="C56" s="84">
        <f>+B47</f>
        <v>-46600</v>
      </c>
      <c r="D56" s="31"/>
      <c r="E56" s="31"/>
      <c r="F56" s="31"/>
      <c r="G56" s="31"/>
      <c r="H56" s="31"/>
    </row>
    <row r="57" spans="1:9" ht="13.9" hidden="1" thickTop="1" thickBot="1" x14ac:dyDescent="0.45">
      <c r="A57" s="86" t="s">
        <v>60</v>
      </c>
      <c r="B57" s="87">
        <f>SUM(B52:B56)</f>
        <v>0</v>
      </c>
      <c r="C57" s="87">
        <f>SUM(C52:C56)</f>
        <v>32660</v>
      </c>
      <c r="D57" s="237"/>
      <c r="E57" s="237"/>
      <c r="F57" s="237"/>
      <c r="G57" s="237"/>
      <c r="H57" s="237"/>
    </row>
    <row r="58" spans="1:9" ht="13.15" hidden="1" thickTop="1" x14ac:dyDescent="0.35">
      <c r="A58" s="75" t="s">
        <v>61</v>
      </c>
      <c r="B58" s="57">
        <f>-B5</f>
        <v>-200000</v>
      </c>
      <c r="C58" s="57"/>
      <c r="D58" s="31"/>
      <c r="E58" s="31"/>
      <c r="F58" s="31"/>
      <c r="G58" s="31"/>
      <c r="H58" s="31"/>
    </row>
    <row r="59" spans="1:9" ht="13.15" hidden="1" thickBot="1" x14ac:dyDescent="0.4">
      <c r="A59" s="75"/>
      <c r="B59" s="238"/>
      <c r="C59" s="84">
        <f>SUM(B59:B59)</f>
        <v>0</v>
      </c>
      <c r="D59" s="31"/>
      <c r="E59" s="31"/>
      <c r="F59" s="31"/>
      <c r="G59" s="31"/>
      <c r="H59" s="31"/>
    </row>
    <row r="60" spans="1:9" ht="13.9" hidden="1" thickTop="1" thickBot="1" x14ac:dyDescent="0.45">
      <c r="A60" s="86" t="s">
        <v>62</v>
      </c>
      <c r="B60" s="87">
        <f>+B57+B58</f>
        <v>-200000</v>
      </c>
      <c r="C60" s="87">
        <f>+C58</f>
        <v>0</v>
      </c>
      <c r="D60" s="237"/>
      <c r="E60" s="237"/>
      <c r="F60" s="237"/>
      <c r="G60" s="237"/>
      <c r="H60" s="237"/>
    </row>
    <row r="61" spans="1:9" ht="13.15" hidden="1" thickTop="1" x14ac:dyDescent="0.35">
      <c r="A61" s="68" t="s">
        <v>63</v>
      </c>
      <c r="B61" s="84">
        <f>+B13</f>
        <v>100000</v>
      </c>
      <c r="C61" s="84"/>
      <c r="D61" s="31"/>
      <c r="E61" s="31"/>
      <c r="F61" s="31"/>
      <c r="G61" s="31"/>
      <c r="H61" s="31"/>
    </row>
    <row r="62" spans="1:9" hidden="1" x14ac:dyDescent="0.35">
      <c r="A62" s="68" t="s">
        <v>64</v>
      </c>
      <c r="B62" s="84">
        <f>+B21</f>
        <v>150000</v>
      </c>
      <c r="C62" s="84"/>
      <c r="D62" s="31"/>
      <c r="E62" s="31"/>
      <c r="F62" s="31"/>
      <c r="G62" s="31"/>
      <c r="H62" s="31"/>
    </row>
    <row r="63" spans="1:9" ht="13.15" hidden="1" thickBot="1" x14ac:dyDescent="0.4">
      <c r="A63" s="68" t="s">
        <v>65</v>
      </c>
      <c r="B63" s="84" t="e">
        <f>+#REF!</f>
        <v>#REF!</v>
      </c>
      <c r="C63" s="84">
        <f>IF(B67+C57+C60+C61+C62&lt;0,-(B67+C57+C60+C61+C62),0)</f>
        <v>0</v>
      </c>
      <c r="D63" s="31"/>
      <c r="E63" s="31"/>
      <c r="F63" s="31"/>
      <c r="G63" s="31"/>
      <c r="H63" s="31"/>
    </row>
    <row r="64" spans="1:9" ht="13.9" hidden="1" thickTop="1" thickBot="1" x14ac:dyDescent="0.45">
      <c r="A64" s="239" t="s">
        <v>66</v>
      </c>
      <c r="B64" s="91">
        <f>+B62+B61</f>
        <v>250000</v>
      </c>
      <c r="C64" s="91">
        <f>+C62+C61</f>
        <v>0</v>
      </c>
      <c r="D64" s="240"/>
      <c r="E64" s="240"/>
      <c r="F64" s="240"/>
      <c r="G64" s="240"/>
      <c r="H64" s="240"/>
    </row>
    <row r="65" spans="1:11" ht="15.75" hidden="1" thickTop="1" thickBot="1" x14ac:dyDescent="0.4">
      <c r="A65" s="93" t="s">
        <v>67</v>
      </c>
      <c r="B65" s="241">
        <f>+B57+B60+B64</f>
        <v>50000</v>
      </c>
      <c r="C65" s="241">
        <f>+C57+C60+C64</f>
        <v>32660</v>
      </c>
      <c r="D65" s="242"/>
      <c r="E65" s="242"/>
      <c r="F65" s="242"/>
      <c r="G65" s="242"/>
      <c r="H65" s="242"/>
    </row>
    <row r="66" spans="1:11" ht="13.9" hidden="1" thickTop="1" thickBot="1" x14ac:dyDescent="0.4">
      <c r="A66" s="96" t="s">
        <v>68</v>
      </c>
      <c r="B66" s="84">
        <v>0</v>
      </c>
      <c r="C66" s="97">
        <f>+B67</f>
        <v>50000</v>
      </c>
      <c r="D66" s="231"/>
      <c r="E66" s="231"/>
      <c r="F66" s="231"/>
      <c r="G66" s="231"/>
      <c r="H66" s="231"/>
    </row>
    <row r="67" spans="1:11" ht="13.9" hidden="1" thickTop="1" thickBot="1" x14ac:dyDescent="0.4">
      <c r="A67" s="98" t="s">
        <v>69</v>
      </c>
      <c r="B67" s="99">
        <f>+B65+B66</f>
        <v>50000</v>
      </c>
      <c r="C67" s="99">
        <f>+C65+C66</f>
        <v>82660</v>
      </c>
      <c r="D67" s="243"/>
      <c r="E67" s="243"/>
      <c r="F67" s="243"/>
      <c r="G67" s="243"/>
      <c r="H67" s="243"/>
    </row>
    <row r="71" spans="1:11" ht="15" x14ac:dyDescent="0.4">
      <c r="A71" s="393" t="s">
        <v>74</v>
      </c>
      <c r="B71" s="393"/>
      <c r="C71" s="393"/>
      <c r="D71" s="393"/>
      <c r="E71" s="31"/>
      <c r="F71" s="31"/>
      <c r="G71" s="31"/>
      <c r="H71" s="31"/>
      <c r="I71" s="31"/>
    </row>
    <row r="72" spans="1:11" ht="13.15" x14ac:dyDescent="0.4">
      <c r="A72" s="184"/>
      <c r="B72" s="185" t="s">
        <v>75</v>
      </c>
      <c r="C72" s="186" t="s">
        <v>76</v>
      </c>
      <c r="D72" s="186" t="s">
        <v>77</v>
      </c>
    </row>
    <row r="73" spans="1:11" ht="13.15" x14ac:dyDescent="0.4">
      <c r="A73" s="187" t="s">
        <v>78</v>
      </c>
      <c r="B73" s="188"/>
      <c r="C73" s="189"/>
      <c r="D73" s="189"/>
      <c r="E73" s="31"/>
      <c r="F73" s="31"/>
      <c r="G73" s="190"/>
    </row>
    <row r="74" spans="1:11" ht="13.15" x14ac:dyDescent="0.4">
      <c r="A74" s="191"/>
      <c r="B74" s="192"/>
      <c r="C74" s="193"/>
      <c r="D74" s="193"/>
    </row>
    <row r="75" spans="1:11" x14ac:dyDescent="0.35">
      <c r="A75" s="194" t="s">
        <v>79</v>
      </c>
      <c r="B75" s="195">
        <f>+'[1]Complementos de mujer'!B30</f>
        <v>1400000</v>
      </c>
      <c r="C75" s="196">
        <v>1</v>
      </c>
      <c r="D75" s="195">
        <f>+B75*C75</f>
        <v>1400000</v>
      </c>
      <c r="E75" s="31"/>
    </row>
    <row r="76" spans="1:11" x14ac:dyDescent="0.35">
      <c r="A76" s="194" t="s">
        <v>80</v>
      </c>
      <c r="B76" s="197"/>
      <c r="C76" s="198"/>
      <c r="D76" s="197">
        <f>+C76*B76</f>
        <v>0</v>
      </c>
      <c r="F76" s="313"/>
      <c r="G76" s="315" t="s">
        <v>21</v>
      </c>
      <c r="H76" s="394" t="s">
        <v>22</v>
      </c>
      <c r="I76" s="394"/>
      <c r="J76" s="394"/>
      <c r="K76" s="394"/>
    </row>
    <row r="77" spans="1:11" x14ac:dyDescent="0.35">
      <c r="A77" s="199" t="s">
        <v>81</v>
      </c>
      <c r="B77" s="197">
        <f>+'[1]Complementos de mujer'!C31</f>
        <v>0.35</v>
      </c>
      <c r="C77" s="196">
        <v>1</v>
      </c>
      <c r="D77" s="197">
        <f>+B77*C77</f>
        <v>0.35</v>
      </c>
      <c r="F77" s="314"/>
      <c r="G77" s="316"/>
      <c r="H77" s="200" t="str">
        <f>+'[1]Complementos de mujer'!C29</f>
        <v>BOLSOS</v>
      </c>
      <c r="I77" s="200" t="str">
        <f>+'[1]Complementos de mujer'!D29</f>
        <v>ZAPATERIA</v>
      </c>
      <c r="J77" s="200" t="str">
        <f>+'[1]Complementos de mujer'!E29</f>
        <v>JOYERIA</v>
      </c>
      <c r="K77" s="200" t="s">
        <v>26</v>
      </c>
    </row>
    <row r="78" spans="1:11" ht="13.15" x14ac:dyDescent="0.4">
      <c r="A78" s="194" t="s">
        <v>82</v>
      </c>
      <c r="B78" s="197">
        <f>+'[1]Complementos de mujer'!D31</f>
        <v>0.45</v>
      </c>
      <c r="C78" s="196">
        <v>1</v>
      </c>
      <c r="D78" s="197">
        <f>+B78*C78</f>
        <v>0.45</v>
      </c>
      <c r="F78" s="36" t="s">
        <v>27</v>
      </c>
      <c r="G78" s="38">
        <f>+D75</f>
        <v>1400000</v>
      </c>
      <c r="H78" s="38">
        <f>+$G$78*H79</f>
        <v>489999.99999999994</v>
      </c>
      <c r="I78" s="38">
        <f>+$G$78*I79</f>
        <v>630000</v>
      </c>
      <c r="J78" s="38">
        <f>+$G$78*J79</f>
        <v>70000</v>
      </c>
      <c r="K78" s="39">
        <f>+$G$78*K79</f>
        <v>210000.00000000003</v>
      </c>
    </row>
    <row r="79" spans="1:11" x14ac:dyDescent="0.35">
      <c r="A79" s="194" t="s">
        <v>83</v>
      </c>
      <c r="B79" s="197">
        <f>+'[1]Complementos de mujer'!E31</f>
        <v>0.05</v>
      </c>
      <c r="C79" s="196">
        <v>1</v>
      </c>
      <c r="D79" s="197">
        <f>+B79*C79</f>
        <v>0.05</v>
      </c>
      <c r="F79" s="40" t="s">
        <v>28</v>
      </c>
      <c r="G79" s="41">
        <f>SUM(H79:K79)</f>
        <v>1</v>
      </c>
      <c r="H79" s="201">
        <f>+D77</f>
        <v>0.35</v>
      </c>
      <c r="I79" s="201">
        <f>+D78</f>
        <v>0.45</v>
      </c>
      <c r="J79" s="201">
        <f>+D79</f>
        <v>0.05</v>
      </c>
      <c r="K79" s="201">
        <f>1-H79-I79-J79</f>
        <v>0.15000000000000002</v>
      </c>
    </row>
    <row r="80" spans="1:11" x14ac:dyDescent="0.35">
      <c r="A80" s="194" t="s">
        <v>84</v>
      </c>
      <c r="B80" s="197">
        <f>+'[1]Complementos de mujer'!F31</f>
        <v>0.15000000000000002</v>
      </c>
      <c r="C80" s="198"/>
      <c r="D80" s="197">
        <f>1-D79-D78-D77</f>
        <v>0.14999999999999997</v>
      </c>
      <c r="F80" s="44" t="s">
        <v>29</v>
      </c>
      <c r="G80" s="202">
        <f>-SUM(H80:K80)</f>
        <v>-838600</v>
      </c>
      <c r="H80" s="46">
        <f>+H78*(1-H82)</f>
        <v>284200</v>
      </c>
      <c r="I80" s="46">
        <f>+I78*(1-I82)</f>
        <v>384300</v>
      </c>
      <c r="J80" s="46">
        <f>+J78*(1-J82)</f>
        <v>23099.999999999996</v>
      </c>
      <c r="K80" s="46">
        <f>+K78*(1-K82)</f>
        <v>147000</v>
      </c>
    </row>
    <row r="81" spans="1:11" ht="13.15" x14ac:dyDescent="0.4">
      <c r="A81" s="203" t="s">
        <v>85</v>
      </c>
      <c r="B81" s="204">
        <f>+'[1]Complementos de mujer'!B34</f>
        <v>0.40100000000000002</v>
      </c>
      <c r="C81" s="205">
        <f>+D81/B81</f>
        <v>1</v>
      </c>
      <c r="D81" s="204">
        <f>+G82</f>
        <v>0.40100000000000002</v>
      </c>
      <c r="E81" s="31"/>
      <c r="F81" s="47" t="s">
        <v>30</v>
      </c>
      <c r="G81" s="48">
        <f>SUM(H81:K81)</f>
        <v>561400</v>
      </c>
      <c r="H81" s="49">
        <f>+H78-H80</f>
        <v>205799.99999999994</v>
      </c>
      <c r="I81" s="49">
        <f>+I78-I80</f>
        <v>245700</v>
      </c>
      <c r="J81" s="49">
        <f>+J78-J80</f>
        <v>46900</v>
      </c>
      <c r="K81" s="49">
        <f>+K78-K80</f>
        <v>63000.000000000029</v>
      </c>
    </row>
    <row r="82" spans="1:11" ht="13.15" x14ac:dyDescent="0.4">
      <c r="A82" s="194"/>
      <c r="B82" s="197"/>
      <c r="C82" s="198"/>
      <c r="D82" s="197"/>
      <c r="F82" s="50" t="s">
        <v>31</v>
      </c>
      <c r="G82" s="51">
        <f>+G81/G78</f>
        <v>0.40100000000000002</v>
      </c>
      <c r="H82" s="52">
        <f>+'[1]Complementos de mujer'!C34</f>
        <v>0.42</v>
      </c>
      <c r="I82" s="52">
        <f>+'[1]Complementos de mujer'!D34</f>
        <v>0.39</v>
      </c>
      <c r="J82" s="52">
        <f>+'[1]Complementos de mujer'!E34</f>
        <v>0.67</v>
      </c>
      <c r="K82" s="53">
        <f>+'[1]Complementos de mujer'!F34</f>
        <v>0.3</v>
      </c>
    </row>
    <row r="83" spans="1:11" ht="13.15" x14ac:dyDescent="0.4">
      <c r="A83" s="187" t="s">
        <v>86</v>
      </c>
      <c r="B83" s="206"/>
      <c r="C83" s="207"/>
      <c r="D83" s="206"/>
      <c r="F83" s="208"/>
      <c r="G83" s="209"/>
      <c r="H83" s="210"/>
      <c r="I83" s="210"/>
      <c r="J83" s="210"/>
      <c r="K83" s="211"/>
    </row>
    <row r="84" spans="1:11" ht="13.15" x14ac:dyDescent="0.4">
      <c r="A84" s="191"/>
      <c r="B84" s="197"/>
      <c r="C84" s="198"/>
      <c r="D84" s="197"/>
      <c r="F84" s="208"/>
      <c r="G84" s="299">
        <f t="shared" ref="G84:K84" si="7">G81/G78</f>
        <v>0.40100000000000002</v>
      </c>
      <c r="H84" s="299">
        <f t="shared" si="7"/>
        <v>0.41999999999999993</v>
      </c>
      <c r="I84" s="299">
        <f t="shared" si="7"/>
        <v>0.39</v>
      </c>
      <c r="J84" s="299">
        <f>J81/J78</f>
        <v>0.67</v>
      </c>
      <c r="K84" s="299">
        <f t="shared" si="7"/>
        <v>0.3000000000000001</v>
      </c>
    </row>
    <row r="85" spans="1:11" x14ac:dyDescent="0.35">
      <c r="A85" s="194" t="s">
        <v>87</v>
      </c>
      <c r="B85" s="195">
        <f>-'[1]Complementos de mujer'!B42</f>
        <v>350000</v>
      </c>
      <c r="C85" s="196">
        <v>1</v>
      </c>
      <c r="D85" s="195">
        <f>+B85*C85</f>
        <v>350000</v>
      </c>
      <c r="E85" s="31"/>
      <c r="F85" s="31"/>
      <c r="G85" s="190"/>
    </row>
    <row r="86" spans="1:11" x14ac:dyDescent="0.35">
      <c r="A86" s="194" t="s">
        <v>88</v>
      </c>
      <c r="B86" s="197">
        <v>0.05</v>
      </c>
      <c r="C86" s="196">
        <v>1</v>
      </c>
      <c r="D86" s="197">
        <f>+B86*C86</f>
        <v>0.05</v>
      </c>
      <c r="E86" s="31"/>
      <c r="F86" s="190"/>
    </row>
    <row r="87" spans="1:11" x14ac:dyDescent="0.35">
      <c r="A87" s="194" t="s">
        <v>89</v>
      </c>
      <c r="B87" s="197">
        <v>0.25</v>
      </c>
      <c r="C87" s="196">
        <v>1</v>
      </c>
      <c r="D87" s="197">
        <f>+B87*C87</f>
        <v>0.25</v>
      </c>
      <c r="E87" s="31"/>
      <c r="F87" s="190"/>
    </row>
    <row r="88" spans="1:11" x14ac:dyDescent="0.35">
      <c r="A88" s="194"/>
      <c r="B88" s="197"/>
      <c r="C88" s="198"/>
      <c r="D88" s="197"/>
      <c r="F88" s="190"/>
    </row>
    <row r="89" spans="1:11" ht="13.15" x14ac:dyDescent="0.4">
      <c r="A89" s="187" t="s">
        <v>90</v>
      </c>
      <c r="B89" s="206"/>
      <c r="C89" s="207"/>
      <c r="D89" s="206"/>
      <c r="F89" s="190"/>
    </row>
    <row r="90" spans="1:11" ht="13.15" x14ac:dyDescent="0.4">
      <c r="A90" s="212"/>
      <c r="B90" s="213"/>
      <c r="C90" s="214"/>
      <c r="D90" s="213"/>
      <c r="F90" s="190"/>
    </row>
    <row r="91" spans="1:11" x14ac:dyDescent="0.35">
      <c r="A91" s="194" t="s">
        <v>91</v>
      </c>
      <c r="B91" s="195">
        <v>15</v>
      </c>
      <c r="C91" s="196">
        <v>1</v>
      </c>
      <c r="D91" s="215">
        <f>+B91*C91</f>
        <v>15</v>
      </c>
      <c r="E91" s="31"/>
      <c r="F91" s="31"/>
      <c r="G91" s="190"/>
    </row>
    <row r="92" spans="1:11" x14ac:dyDescent="0.35">
      <c r="A92" s="194" t="s">
        <v>92</v>
      </c>
      <c r="B92" s="195">
        <v>15</v>
      </c>
      <c r="C92" s="196">
        <v>1</v>
      </c>
      <c r="D92" s="215">
        <f>+B92*C92</f>
        <v>15</v>
      </c>
      <c r="E92" s="31"/>
      <c r="F92" s="31"/>
      <c r="G92" s="190"/>
    </row>
    <row r="93" spans="1:11" x14ac:dyDescent="0.35">
      <c r="A93" s="194" t="s">
        <v>93</v>
      </c>
      <c r="B93" s="195">
        <v>30</v>
      </c>
      <c r="C93" s="196">
        <v>1</v>
      </c>
      <c r="D93" s="195">
        <f>+C93*B93</f>
        <v>30</v>
      </c>
      <c r="E93" s="31"/>
      <c r="F93" s="31"/>
      <c r="G93" s="190"/>
    </row>
    <row r="94" spans="1:11" x14ac:dyDescent="0.35">
      <c r="B94" s="31"/>
      <c r="F94" s="190"/>
    </row>
    <row r="95" spans="1:11" x14ac:dyDescent="0.35">
      <c r="A95" s="194" t="s">
        <v>94</v>
      </c>
      <c r="B95" s="31"/>
      <c r="D95" s="195">
        <f>-(+B39+(B39/360)*D93)</f>
        <v>908483.33333333337</v>
      </c>
      <c r="F95" s="190"/>
    </row>
    <row r="96" spans="1:11" x14ac:dyDescent="0.35">
      <c r="F96" s="190"/>
    </row>
    <row r="97" spans="1:6" ht="13.15" x14ac:dyDescent="0.4">
      <c r="A97" s="187" t="s">
        <v>95</v>
      </c>
      <c r="B97" s="206"/>
      <c r="C97" s="207"/>
      <c r="D97" s="206"/>
      <c r="F97" s="190"/>
    </row>
    <row r="98" spans="1:6" ht="13.15" x14ac:dyDescent="0.4">
      <c r="A98" s="212"/>
      <c r="B98" s="213"/>
      <c r="C98" s="214"/>
      <c r="D98" s="213"/>
      <c r="F98" s="190"/>
    </row>
    <row r="99" spans="1:6" x14ac:dyDescent="0.35">
      <c r="A99" s="194" t="s">
        <v>96</v>
      </c>
      <c r="B99" s="195">
        <f>+'[1]Complementos de mujer'!B5</f>
        <v>200000</v>
      </c>
      <c r="C99" s="196">
        <v>1</v>
      </c>
      <c r="D99" s="195">
        <f>+B99*C99</f>
        <v>200000</v>
      </c>
      <c r="E99" s="31"/>
      <c r="F99" s="190"/>
    </row>
    <row r="100" spans="1:6" x14ac:dyDescent="0.35">
      <c r="A100" s="194" t="s">
        <v>97</v>
      </c>
      <c r="B100" s="195">
        <f>+'[1]Complementos de mujer'!B13</f>
        <v>100000</v>
      </c>
      <c r="C100" s="196">
        <v>1</v>
      </c>
      <c r="D100" s="195">
        <f>+B100*C100</f>
        <v>100000</v>
      </c>
      <c r="E100" s="31"/>
      <c r="F100" s="190"/>
    </row>
    <row r="101" spans="1:6" x14ac:dyDescent="0.35">
      <c r="A101" s="194" t="s">
        <v>98</v>
      </c>
      <c r="B101" s="195">
        <f>+'[1]Complementos de mujer'!B22</f>
        <v>150000</v>
      </c>
      <c r="C101" s="196">
        <v>1</v>
      </c>
      <c r="D101" s="195">
        <f>+B101*C101</f>
        <v>150000</v>
      </c>
      <c r="E101" s="31"/>
      <c r="F101" s="190"/>
    </row>
    <row r="102" spans="1:6" x14ac:dyDescent="0.35">
      <c r="F102" s="190"/>
    </row>
    <row r="103" spans="1:6" x14ac:dyDescent="0.35">
      <c r="F103" s="190"/>
    </row>
  </sheetData>
  <mergeCells count="39">
    <mergeCell ref="A71:D71"/>
    <mergeCell ref="F76:F77"/>
    <mergeCell ref="G76:G77"/>
    <mergeCell ref="H76:K76"/>
    <mergeCell ref="A35:A36"/>
    <mergeCell ref="B35:B36"/>
    <mergeCell ref="C35:C36"/>
    <mergeCell ref="A50:A51"/>
    <mergeCell ref="B50:B51"/>
    <mergeCell ref="C50:C51"/>
    <mergeCell ref="F19:F20"/>
    <mergeCell ref="G19:G20"/>
    <mergeCell ref="H19:H20"/>
    <mergeCell ref="I19:I20"/>
    <mergeCell ref="A11:A12"/>
    <mergeCell ref="B11:B12"/>
    <mergeCell ref="C11:C12"/>
    <mergeCell ref="A19:A20"/>
    <mergeCell ref="B19:B20"/>
    <mergeCell ref="C19:C20"/>
    <mergeCell ref="D19:D20"/>
    <mergeCell ref="E19:E20"/>
    <mergeCell ref="D11:D12"/>
    <mergeCell ref="E11:E12"/>
    <mergeCell ref="F11:F12"/>
    <mergeCell ref="G11:G12"/>
    <mergeCell ref="H11:H12"/>
    <mergeCell ref="I11:I12"/>
    <mergeCell ref="A1:I1"/>
    <mergeCell ref="A2:I2"/>
    <mergeCell ref="A3:A4"/>
    <mergeCell ref="B3:B4"/>
    <mergeCell ref="C3:C4"/>
    <mergeCell ref="D3:D4"/>
    <mergeCell ref="E3:E4"/>
    <mergeCell ref="F3:F4"/>
    <mergeCell ref="G3:G4"/>
    <mergeCell ref="H3:H4"/>
    <mergeCell ref="I3:I4"/>
  </mergeCells>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1C2E42-10CD-42EF-9B63-9DF23205C3FC}">
  <dimension ref="A1:K112"/>
  <sheetViews>
    <sheetView workbookViewId="0">
      <selection activeCell="K2" sqref="K2"/>
    </sheetView>
  </sheetViews>
  <sheetFormatPr baseColWidth="10" defaultRowHeight="12.75" x14ac:dyDescent="0.35"/>
  <cols>
    <col min="1" max="2" width="16.33203125" customWidth="1"/>
    <col min="3" max="3" width="17.6640625" customWidth="1"/>
  </cols>
  <sheetData>
    <row r="1" spans="1:9" ht="68.25" customHeight="1" thickBot="1" x14ac:dyDescent="0.4">
      <c r="A1" s="395" t="s">
        <v>120</v>
      </c>
      <c r="B1" s="396"/>
      <c r="C1" s="396"/>
      <c r="D1" s="396"/>
      <c r="E1" s="396"/>
      <c r="F1" s="396"/>
      <c r="G1" s="396"/>
      <c r="H1" s="396"/>
      <c r="I1" s="396"/>
    </row>
    <row r="2" spans="1:9" ht="18" thickTop="1" thickBot="1" x14ac:dyDescent="0.5">
      <c r="A2" s="336" t="s">
        <v>0</v>
      </c>
      <c r="B2" s="337"/>
      <c r="C2" s="337"/>
      <c r="D2" s="337"/>
      <c r="E2" s="337"/>
      <c r="F2" s="337"/>
      <c r="G2" s="337"/>
      <c r="H2" s="337"/>
      <c r="I2" s="338"/>
    </row>
    <row r="3" spans="1:9" ht="13.15" thickTop="1" x14ac:dyDescent="0.35">
      <c r="A3" s="339" t="s">
        <v>1</v>
      </c>
      <c r="B3" s="341" t="s">
        <v>2</v>
      </c>
      <c r="C3" s="343">
        <v>1</v>
      </c>
      <c r="D3" s="343">
        <f>+C3+1</f>
        <v>2</v>
      </c>
      <c r="E3" s="343">
        <f>+D3+1</f>
        <v>3</v>
      </c>
      <c r="F3" s="343">
        <f>+E3+1</f>
        <v>4</v>
      </c>
      <c r="G3" s="343">
        <f>+F3+1</f>
        <v>5</v>
      </c>
      <c r="H3" s="343">
        <f>+G3+1</f>
        <v>6</v>
      </c>
      <c r="I3" s="345" t="s">
        <v>3</v>
      </c>
    </row>
    <row r="4" spans="1:9" ht="13.15" thickBot="1" x14ac:dyDescent="0.4">
      <c r="A4" s="340"/>
      <c r="B4" s="342"/>
      <c r="C4" s="344"/>
      <c r="D4" s="344"/>
      <c r="E4" s="344"/>
      <c r="F4" s="344"/>
      <c r="G4" s="344"/>
      <c r="H4" s="344"/>
      <c r="I4" s="346"/>
    </row>
    <row r="5" spans="1:9" ht="13.15" thickTop="1" x14ac:dyDescent="0.35">
      <c r="A5" s="2" t="str">
        <f>+'[1]Complementos de mujer'!A5</f>
        <v>Canon</v>
      </c>
      <c r="B5" s="57">
        <f>IF(B$24=0,0,D99)</f>
        <v>200000</v>
      </c>
      <c r="C5" s="216"/>
      <c r="D5" s="217"/>
      <c r="E5" s="217"/>
      <c r="F5" s="218">
        <f>IF($D$43=1,B43,0)</f>
        <v>-20000</v>
      </c>
      <c r="G5" s="217"/>
      <c r="H5" s="219"/>
      <c r="I5" s="57">
        <f>SUM(B5:H5)</f>
        <v>180000</v>
      </c>
    </row>
    <row r="6" spans="1:9" x14ac:dyDescent="0.35">
      <c r="A6" s="2" t="s">
        <v>5</v>
      </c>
      <c r="B6" s="84">
        <v>0</v>
      </c>
      <c r="C6" s="216"/>
      <c r="D6" s="218">
        <v>59215</v>
      </c>
      <c r="E6" s="218"/>
      <c r="F6" s="218"/>
      <c r="G6" s="218"/>
      <c r="H6" s="220"/>
      <c r="I6" s="84">
        <f>SUM(B6:H6)</f>
        <v>59215</v>
      </c>
    </row>
    <row r="7" spans="1:9" x14ac:dyDescent="0.35">
      <c r="A7" s="2" t="s">
        <v>6</v>
      </c>
      <c r="B7" s="84">
        <v>0</v>
      </c>
      <c r="C7" s="216">
        <v>100000</v>
      </c>
      <c r="D7" s="218"/>
      <c r="E7" s="218"/>
      <c r="F7" s="218"/>
      <c r="G7" s="218"/>
      <c r="H7" s="220"/>
      <c r="I7" s="84">
        <f>SUM(B7:H7)</f>
        <v>100000</v>
      </c>
    </row>
    <row r="8" spans="1:9" ht="13.15" thickBot="1" x14ac:dyDescent="0.4">
      <c r="A8" s="2" t="s">
        <v>7</v>
      </c>
      <c r="B8" s="84">
        <f>IF(B$24=0,0,B21+B13-B5)</f>
        <v>50000</v>
      </c>
      <c r="C8" s="216">
        <f>IF($D$37=1,B38-C7,0)</f>
        <v>1300000</v>
      </c>
      <c r="D8" s="218">
        <v>-865740</v>
      </c>
      <c r="E8" s="218">
        <f>IF($D$41=1,C54,0)</f>
        <v>-350000</v>
      </c>
      <c r="G8" s="218">
        <f>IF($D$45=1,C55,0)</f>
        <v>-5000</v>
      </c>
      <c r="H8" s="220">
        <f>IF($D$47=1,C56,0)</f>
        <v>-46600</v>
      </c>
      <c r="I8" s="84">
        <f>SUM(B8:H8)</f>
        <v>82660</v>
      </c>
    </row>
    <row r="9" spans="1:9" ht="15.75" thickTop="1" thickBot="1" x14ac:dyDescent="0.4">
      <c r="A9" s="8" t="s">
        <v>8</v>
      </c>
      <c r="B9" s="9">
        <f t="shared" ref="B9:I9" si="0">SUM(B5:B8)</f>
        <v>250000</v>
      </c>
      <c r="C9" s="221">
        <f t="shared" si="0"/>
        <v>1400000</v>
      </c>
      <c r="D9" s="10">
        <f t="shared" si="0"/>
        <v>-806525</v>
      </c>
      <c r="E9" s="10">
        <f t="shared" si="0"/>
        <v>-350000</v>
      </c>
      <c r="F9" s="10">
        <f t="shared" si="0"/>
        <v>-20000</v>
      </c>
      <c r="G9" s="10">
        <f t="shared" si="0"/>
        <v>-5000</v>
      </c>
      <c r="H9" s="10">
        <f t="shared" si="0"/>
        <v>-46600</v>
      </c>
      <c r="I9" s="9">
        <f t="shared" si="0"/>
        <v>421875</v>
      </c>
    </row>
    <row r="10" spans="1:9" ht="15.75" thickTop="1" thickBot="1" x14ac:dyDescent="0.4">
      <c r="A10" s="11"/>
      <c r="B10" s="12"/>
      <c r="C10" s="12"/>
      <c r="D10" s="12"/>
      <c r="E10" s="12"/>
      <c r="F10" s="12"/>
      <c r="G10" s="12"/>
      <c r="H10" s="12"/>
      <c r="I10" s="222"/>
    </row>
    <row r="11" spans="1:9" ht="13.15" thickTop="1" x14ac:dyDescent="0.35">
      <c r="A11" s="332" t="s">
        <v>9</v>
      </c>
      <c r="B11" s="326" t="str">
        <f t="shared" ref="B11:I11" si="1">+B3</f>
        <v>BALANCE INICIAL</v>
      </c>
      <c r="C11" s="334">
        <f t="shared" si="1"/>
        <v>1</v>
      </c>
      <c r="D11" s="324">
        <f t="shared" si="1"/>
        <v>2</v>
      </c>
      <c r="E11" s="324">
        <f t="shared" si="1"/>
        <v>3</v>
      </c>
      <c r="F11" s="324">
        <f t="shared" si="1"/>
        <v>4</v>
      </c>
      <c r="G11" s="324">
        <f t="shared" si="1"/>
        <v>5</v>
      </c>
      <c r="H11" s="387">
        <f t="shared" si="1"/>
        <v>6</v>
      </c>
      <c r="I11" s="326" t="str">
        <f t="shared" si="1"/>
        <v>BALANCE FINAL</v>
      </c>
    </row>
    <row r="12" spans="1:9" ht="13.15" thickBot="1" x14ac:dyDescent="0.4">
      <c r="A12" s="333"/>
      <c r="B12" s="327"/>
      <c r="C12" s="335"/>
      <c r="D12" s="325"/>
      <c r="E12" s="325"/>
      <c r="F12" s="325"/>
      <c r="G12" s="325"/>
      <c r="H12" s="388"/>
      <c r="I12" s="327"/>
    </row>
    <row r="13" spans="1:9" ht="13.15" thickTop="1" x14ac:dyDescent="0.35">
      <c r="A13" s="14" t="s">
        <v>10</v>
      </c>
      <c r="B13" s="57">
        <f>IF(B$24=0,0,D100)</f>
        <v>100000</v>
      </c>
      <c r="C13" s="223"/>
      <c r="D13" s="217"/>
      <c r="E13" s="217"/>
      <c r="F13" s="217"/>
      <c r="G13" s="217"/>
      <c r="H13" s="219"/>
      <c r="I13" s="84">
        <f>SUM(B13:H13)</f>
        <v>100000</v>
      </c>
    </row>
    <row r="14" spans="1:9" x14ac:dyDescent="0.35">
      <c r="A14" s="2" t="s">
        <v>11</v>
      </c>
      <c r="B14" s="84"/>
      <c r="C14" s="216"/>
      <c r="D14" s="218">
        <v>32075</v>
      </c>
      <c r="E14" s="218"/>
      <c r="F14" s="218"/>
      <c r="G14" s="218"/>
      <c r="H14" s="220"/>
      <c r="I14" s="84">
        <f>SUM(B14:H14)</f>
        <v>32075</v>
      </c>
    </row>
    <row r="15" spans="1:9" x14ac:dyDescent="0.35">
      <c r="A15" s="2" t="s">
        <v>12</v>
      </c>
      <c r="B15" s="84"/>
      <c r="C15" s="216"/>
      <c r="D15" s="218"/>
      <c r="E15" s="218"/>
      <c r="F15" s="218"/>
      <c r="G15" s="218"/>
      <c r="H15" s="220"/>
      <c r="I15" s="84">
        <f>SUM(B15:H15)</f>
        <v>0</v>
      </c>
    </row>
    <row r="16" spans="1:9" ht="13.15" thickBot="1" x14ac:dyDescent="0.4">
      <c r="A16" s="2" t="s">
        <v>13</v>
      </c>
      <c r="B16" s="84"/>
      <c r="C16" s="216"/>
      <c r="D16" s="218"/>
      <c r="E16" s="218"/>
      <c r="F16" s="218"/>
      <c r="G16" s="218"/>
      <c r="H16" s="220"/>
      <c r="I16" s="84">
        <f>SUM(B16:H16)</f>
        <v>0</v>
      </c>
    </row>
    <row r="17" spans="1:11" ht="13.9" thickTop="1" thickBot="1" x14ac:dyDescent="0.45">
      <c r="A17" s="17" t="s">
        <v>15</v>
      </c>
      <c r="B17" s="18">
        <f t="shared" ref="B17:I17" si="2">SUM(B13:B16)</f>
        <v>100000</v>
      </c>
      <c r="C17" s="224">
        <f t="shared" si="2"/>
        <v>0</v>
      </c>
      <c r="D17" s="18">
        <f t="shared" si="2"/>
        <v>32075</v>
      </c>
      <c r="E17" s="18">
        <f t="shared" si="2"/>
        <v>0</v>
      </c>
      <c r="F17" s="18">
        <f t="shared" si="2"/>
        <v>0</v>
      </c>
      <c r="G17" s="18">
        <f t="shared" si="2"/>
        <v>0</v>
      </c>
      <c r="H17" s="225">
        <f t="shared" si="2"/>
        <v>0</v>
      </c>
      <c r="I17" s="18">
        <f t="shared" si="2"/>
        <v>132075</v>
      </c>
      <c r="K17" s="31"/>
    </row>
    <row r="18" spans="1:11" ht="13.9" thickTop="1" thickBot="1" x14ac:dyDescent="0.45">
      <c r="A18" s="19"/>
      <c r="B18" s="12"/>
      <c r="C18" s="226"/>
      <c r="D18" s="226"/>
      <c r="E18" s="226"/>
      <c r="F18" s="226"/>
      <c r="G18" s="226"/>
      <c r="H18" s="226"/>
      <c r="I18" s="222"/>
    </row>
    <row r="19" spans="1:11" ht="13.15" thickTop="1" x14ac:dyDescent="0.35">
      <c r="A19" s="328" t="s">
        <v>16</v>
      </c>
      <c r="B19" s="311" t="s">
        <v>2</v>
      </c>
      <c r="C19" s="330">
        <f t="shared" ref="C19:H19" si="3">+C11</f>
        <v>1</v>
      </c>
      <c r="D19" s="309">
        <f t="shared" si="3"/>
        <v>2</v>
      </c>
      <c r="E19" s="309">
        <f t="shared" si="3"/>
        <v>3</v>
      </c>
      <c r="F19" s="309">
        <f t="shared" si="3"/>
        <v>4</v>
      </c>
      <c r="G19" s="309">
        <f t="shared" si="3"/>
        <v>5</v>
      </c>
      <c r="H19" s="391">
        <f t="shared" si="3"/>
        <v>6</v>
      </c>
      <c r="I19" s="311" t="s">
        <v>3</v>
      </c>
    </row>
    <row r="20" spans="1:11" ht="13.15" thickBot="1" x14ac:dyDescent="0.4">
      <c r="A20" s="329"/>
      <c r="B20" s="312"/>
      <c r="C20" s="331"/>
      <c r="D20" s="310"/>
      <c r="E20" s="310"/>
      <c r="F20" s="310"/>
      <c r="G20" s="310"/>
      <c r="H20" s="392"/>
      <c r="I20" s="312"/>
    </row>
    <row r="21" spans="1:11" ht="13.15" thickTop="1" x14ac:dyDescent="0.35">
      <c r="A21" s="14" t="s">
        <v>17</v>
      </c>
      <c r="B21" s="57">
        <f>IF(B$24=0,0,D101)</f>
        <v>150000</v>
      </c>
      <c r="C21" s="223"/>
      <c r="D21" s="217"/>
      <c r="E21" s="217"/>
      <c r="F21" s="217"/>
      <c r="G21" s="217"/>
      <c r="H21" s="219"/>
      <c r="I21" s="57">
        <f>SUM(B21:H21)</f>
        <v>150000</v>
      </c>
    </row>
    <row r="22" spans="1:11" ht="13.15" thickBot="1" x14ac:dyDescent="0.4">
      <c r="A22" s="22" t="s">
        <v>18</v>
      </c>
      <c r="B22" s="84"/>
      <c r="C22" s="216">
        <f>IF($D$37=1,B37,0)</f>
        <v>1400000</v>
      </c>
      <c r="D22" s="227">
        <f>IF($D$39=1,B39,0)</f>
        <v>-838600</v>
      </c>
      <c r="E22" s="218">
        <f>IF($D$41=1,B41,0)</f>
        <v>-350000</v>
      </c>
      <c r="F22" s="218">
        <f>IF($D$43=1,B43,0)</f>
        <v>-20000</v>
      </c>
      <c r="G22" s="218">
        <f>IF($D$45=1,B45,0)</f>
        <v>-5000</v>
      </c>
      <c r="H22" s="220">
        <f>IF($D$47=1,B47,0)</f>
        <v>-46600</v>
      </c>
      <c r="I22" s="84">
        <f>SUM(B22:H22)</f>
        <v>139800</v>
      </c>
    </row>
    <row r="23" spans="1:11" ht="15.75" thickTop="1" thickBot="1" x14ac:dyDescent="0.4">
      <c r="A23" s="23" t="s">
        <v>19</v>
      </c>
      <c r="B23" s="24">
        <f t="shared" ref="B23:I23" si="4">SUM(B21:B22)</f>
        <v>150000</v>
      </c>
      <c r="C23" s="228">
        <f t="shared" si="4"/>
        <v>1400000</v>
      </c>
      <c r="D23" s="24">
        <f t="shared" si="4"/>
        <v>-838600</v>
      </c>
      <c r="E23" s="24">
        <f t="shared" si="4"/>
        <v>-350000</v>
      </c>
      <c r="F23" s="24">
        <f t="shared" si="4"/>
        <v>-20000</v>
      </c>
      <c r="G23" s="24">
        <f t="shared" si="4"/>
        <v>-5000</v>
      </c>
      <c r="H23" s="229">
        <f t="shared" si="4"/>
        <v>-46600</v>
      </c>
      <c r="I23" s="24">
        <f t="shared" si="4"/>
        <v>289800</v>
      </c>
    </row>
    <row r="24" spans="1:11" ht="15.4" thickTop="1" x14ac:dyDescent="0.35">
      <c r="A24" s="230"/>
      <c r="B24" s="26">
        <v>1</v>
      </c>
      <c r="C24" s="231"/>
      <c r="D24" s="231"/>
      <c r="E24" s="231"/>
      <c r="F24" s="231"/>
      <c r="G24" s="231"/>
      <c r="H24" s="231"/>
      <c r="I24" s="231"/>
    </row>
    <row r="25" spans="1:11" x14ac:dyDescent="0.35">
      <c r="A25" s="232" t="s">
        <v>20</v>
      </c>
      <c r="B25" s="29">
        <f t="shared" ref="B25:I25" si="5">+B9-B17-B23</f>
        <v>0</v>
      </c>
      <c r="C25" s="29">
        <f t="shared" si="5"/>
        <v>0</v>
      </c>
      <c r="D25" s="29">
        <f t="shared" si="5"/>
        <v>0</v>
      </c>
      <c r="E25" s="29">
        <f t="shared" si="5"/>
        <v>0</v>
      </c>
      <c r="F25" s="29">
        <f t="shared" si="5"/>
        <v>0</v>
      </c>
      <c r="G25" s="29">
        <f t="shared" si="5"/>
        <v>0</v>
      </c>
      <c r="H25" s="29">
        <f t="shared" si="5"/>
        <v>0</v>
      </c>
      <c r="I25" s="29">
        <f t="shared" si="5"/>
        <v>0</v>
      </c>
    </row>
    <row r="26" spans="1:11" x14ac:dyDescent="0.35">
      <c r="B26" s="31">
        <f>+B9-B17-B23</f>
        <v>0</v>
      </c>
      <c r="C26" s="31"/>
      <c r="D26" s="31"/>
      <c r="E26" s="31"/>
      <c r="F26" s="31"/>
      <c r="G26" s="233"/>
      <c r="H26" s="234"/>
      <c r="I26" s="234"/>
    </row>
    <row r="27" spans="1:11" x14ac:dyDescent="0.35">
      <c r="G27" s="233"/>
      <c r="H27" s="234"/>
      <c r="I27" s="234"/>
    </row>
    <row r="28" spans="1:11" x14ac:dyDescent="0.35">
      <c r="G28" s="233"/>
      <c r="H28" s="234"/>
      <c r="I28" s="234"/>
    </row>
    <row r="29" spans="1:11" x14ac:dyDescent="0.35">
      <c r="G29" s="233"/>
      <c r="H29" s="234"/>
      <c r="I29" s="234"/>
    </row>
    <row r="30" spans="1:11" x14ac:dyDescent="0.35">
      <c r="G30" s="233"/>
      <c r="H30" s="234"/>
      <c r="I30" s="234"/>
    </row>
    <row r="31" spans="1:11" x14ac:dyDescent="0.35">
      <c r="G31" s="233"/>
      <c r="H31" s="234"/>
      <c r="I31" s="234"/>
    </row>
    <row r="32" spans="1:11" x14ac:dyDescent="0.35">
      <c r="G32" s="233"/>
      <c r="H32" s="234"/>
      <c r="I32" s="234"/>
    </row>
    <row r="33" spans="1:9" x14ac:dyDescent="0.35">
      <c r="G33" s="233"/>
      <c r="H33" s="234"/>
      <c r="I33" s="234"/>
    </row>
    <row r="34" spans="1:9" ht="13.15" thickBot="1" x14ac:dyDescent="0.4">
      <c r="B34" s="31"/>
      <c r="C34" s="31"/>
      <c r="D34" s="31"/>
      <c r="E34" s="31"/>
      <c r="F34" s="31"/>
      <c r="G34" s="233"/>
      <c r="H34" s="234"/>
      <c r="I34" s="234"/>
    </row>
    <row r="35" spans="1:9" ht="13.15" thickTop="1" x14ac:dyDescent="0.35">
      <c r="A35" s="318" t="s">
        <v>32</v>
      </c>
      <c r="B35" s="320" t="s">
        <v>33</v>
      </c>
      <c r="C35" s="322" t="s">
        <v>34</v>
      </c>
      <c r="D35" s="235"/>
      <c r="E35" s="235"/>
    </row>
    <row r="36" spans="1:9" ht="13.15" thickBot="1" x14ac:dyDescent="0.4">
      <c r="A36" s="319"/>
      <c r="B36" s="321"/>
      <c r="C36" s="323"/>
    </row>
    <row r="37" spans="1:9" ht="13.5" thickTop="1" x14ac:dyDescent="0.4">
      <c r="A37" s="56" t="s">
        <v>35</v>
      </c>
      <c r="B37" s="57">
        <f>IF($D37=1,G78,0)</f>
        <v>1400000</v>
      </c>
      <c r="C37" s="58">
        <f t="shared" ref="C37:C48" si="6">+B37/$B$37</f>
        <v>1</v>
      </c>
      <c r="D37" s="26">
        <v>1</v>
      </c>
      <c r="E37" s="59" t="s">
        <v>36</v>
      </c>
    </row>
    <row r="38" spans="1:9" ht="13.5" thickBot="1" x14ac:dyDescent="0.45">
      <c r="A38" s="60" t="s">
        <v>37</v>
      </c>
      <c r="B38" s="61">
        <f>+B37</f>
        <v>1400000</v>
      </c>
      <c r="C38" s="62">
        <f t="shared" si="6"/>
        <v>1</v>
      </c>
    </row>
    <row r="39" spans="1:9" ht="13.15" thickTop="1" x14ac:dyDescent="0.35">
      <c r="A39" s="63" t="s">
        <v>38</v>
      </c>
      <c r="B39" s="57">
        <f>IF($D39=1,G80,0)</f>
        <v>-838600</v>
      </c>
      <c r="C39" s="64">
        <f t="shared" si="6"/>
        <v>-0.59899999999999998</v>
      </c>
      <c r="D39" s="26">
        <v>1</v>
      </c>
      <c r="E39" s="59" t="s">
        <v>39</v>
      </c>
    </row>
    <row r="40" spans="1:9" ht="13.15" x14ac:dyDescent="0.4">
      <c r="A40" s="65" t="s">
        <v>40</v>
      </c>
      <c r="B40" s="66">
        <f>+B37+B39</f>
        <v>561400</v>
      </c>
      <c r="C40" s="67">
        <f t="shared" si="6"/>
        <v>0.40100000000000002</v>
      </c>
    </row>
    <row r="41" spans="1:9" x14ac:dyDescent="0.35">
      <c r="A41" s="68" t="s">
        <v>41</v>
      </c>
      <c r="B41" s="69">
        <f>IF($D41=1,-D85,0)</f>
        <v>-350000</v>
      </c>
      <c r="C41" s="70">
        <f t="shared" si="6"/>
        <v>-0.25</v>
      </c>
      <c r="D41" s="26">
        <v>1</v>
      </c>
      <c r="E41" s="59" t="s">
        <v>42</v>
      </c>
    </row>
    <row r="42" spans="1:9" ht="13.15" x14ac:dyDescent="0.4">
      <c r="A42" s="71" t="s">
        <v>43</v>
      </c>
      <c r="B42" s="72">
        <f>+B40+B41</f>
        <v>211400</v>
      </c>
      <c r="C42" s="67">
        <f t="shared" si="6"/>
        <v>0.151</v>
      </c>
      <c r="F42" s="73"/>
      <c r="G42" s="73"/>
      <c r="H42" s="73"/>
    </row>
    <row r="43" spans="1:9" x14ac:dyDescent="0.35">
      <c r="A43" s="68" t="s">
        <v>44</v>
      </c>
      <c r="B43" s="69">
        <f>IF($D43=1,-B5/10,0)</f>
        <v>-20000</v>
      </c>
      <c r="C43" s="70">
        <f t="shared" si="6"/>
        <v>-1.4285714285714285E-2</v>
      </c>
      <c r="D43" s="26">
        <v>1</v>
      </c>
      <c r="E43" s="59" t="s">
        <v>45</v>
      </c>
      <c r="F43" s="74"/>
      <c r="G43" s="74"/>
      <c r="H43" s="74"/>
    </row>
    <row r="44" spans="1:9" ht="13.15" x14ac:dyDescent="0.4">
      <c r="A44" s="71" t="s">
        <v>46</v>
      </c>
      <c r="B44" s="72">
        <f>+B42+B43</f>
        <v>191400</v>
      </c>
      <c r="C44" s="67">
        <f t="shared" si="6"/>
        <v>0.1367142857142857</v>
      </c>
      <c r="F44" s="73"/>
      <c r="G44" s="73"/>
      <c r="H44" s="73"/>
    </row>
    <row r="45" spans="1:9" x14ac:dyDescent="0.35">
      <c r="A45" s="75" t="s">
        <v>47</v>
      </c>
      <c r="B45" s="69">
        <f>IF($D45=1,-B13*D86,0)</f>
        <v>-5000</v>
      </c>
      <c r="C45" s="70">
        <f t="shared" si="6"/>
        <v>-3.5714285714285713E-3</v>
      </c>
      <c r="D45" s="26">
        <v>1</v>
      </c>
      <c r="E45" s="59" t="s">
        <v>48</v>
      </c>
      <c r="F45" s="74"/>
      <c r="G45" s="74"/>
      <c r="H45" s="74"/>
    </row>
    <row r="46" spans="1:9" ht="13.15" x14ac:dyDescent="0.4">
      <c r="A46" s="71" t="s">
        <v>49</v>
      </c>
      <c r="B46" s="72">
        <f>+B44+B45</f>
        <v>186400</v>
      </c>
      <c r="C46" s="67">
        <f t="shared" si="6"/>
        <v>0.13314285714285715</v>
      </c>
      <c r="F46" s="73"/>
      <c r="G46" s="73"/>
      <c r="H46" s="73"/>
    </row>
    <row r="47" spans="1:9" x14ac:dyDescent="0.35">
      <c r="A47" s="68" t="s">
        <v>99</v>
      </c>
      <c r="B47" s="69">
        <f>IF($D47=1,-B46*D87,0)</f>
        <v>-46600</v>
      </c>
      <c r="C47" s="70">
        <f t="shared" si="6"/>
        <v>-3.3285714285714287E-2</v>
      </c>
      <c r="D47" s="26">
        <v>1</v>
      </c>
      <c r="E47" s="59" t="s">
        <v>51</v>
      </c>
      <c r="F47" s="74"/>
      <c r="G47" s="74"/>
      <c r="H47" s="74"/>
    </row>
    <row r="48" spans="1:9" ht="15" x14ac:dyDescent="0.35">
      <c r="A48" s="76" t="s">
        <v>52</v>
      </c>
      <c r="B48" s="77">
        <f>+B46+B47</f>
        <v>139800</v>
      </c>
      <c r="C48" s="78">
        <f t="shared" si="6"/>
        <v>9.9857142857142853E-2</v>
      </c>
      <c r="D48" s="79"/>
      <c r="E48" s="79"/>
      <c r="F48" s="79"/>
      <c r="G48" s="79"/>
      <c r="H48" s="79"/>
    </row>
    <row r="49" spans="1:9" ht="13.15" thickBot="1" x14ac:dyDescent="0.4"/>
    <row r="50" spans="1:9" ht="13.15" thickTop="1" x14ac:dyDescent="0.35">
      <c r="A50" s="303" t="s">
        <v>53</v>
      </c>
      <c r="B50" s="305" t="s">
        <v>54</v>
      </c>
      <c r="C50" s="307" t="s">
        <v>53</v>
      </c>
      <c r="D50" s="235"/>
      <c r="E50" s="235"/>
      <c r="F50" s="235"/>
      <c r="G50" s="235"/>
      <c r="H50" s="235"/>
      <c r="I50" s="31"/>
    </row>
    <row r="51" spans="1:9" ht="13.15" thickBot="1" x14ac:dyDescent="0.4">
      <c r="A51" s="304"/>
      <c r="B51" s="306"/>
      <c r="C51" s="308"/>
      <c r="D51" s="235"/>
      <c r="E51" s="235"/>
      <c r="F51" s="235"/>
      <c r="G51" s="235"/>
      <c r="H51" s="235"/>
    </row>
    <row r="52" spans="1:9" ht="13.15" thickTop="1" x14ac:dyDescent="0.35">
      <c r="A52" s="80" t="s">
        <v>55</v>
      </c>
      <c r="B52" s="82">
        <v>0</v>
      </c>
      <c r="C52" s="82">
        <f>+C8</f>
        <v>1300000</v>
      </c>
      <c r="D52" s="236"/>
      <c r="E52" s="236"/>
      <c r="F52" s="236"/>
      <c r="G52" s="236"/>
      <c r="H52" s="236"/>
    </row>
    <row r="53" spans="1:9" x14ac:dyDescent="0.35">
      <c r="A53" s="75" t="s">
        <v>56</v>
      </c>
      <c r="B53" s="84">
        <v>0</v>
      </c>
      <c r="C53" s="84">
        <f>+D8</f>
        <v>-865740</v>
      </c>
      <c r="D53" s="31"/>
      <c r="E53" s="31"/>
      <c r="F53" s="31"/>
      <c r="G53" s="31"/>
      <c r="H53" s="31"/>
    </row>
    <row r="54" spans="1:9" x14ac:dyDescent="0.35">
      <c r="A54" s="68" t="s">
        <v>57</v>
      </c>
      <c r="B54" s="84">
        <v>0</v>
      </c>
      <c r="C54" s="84">
        <f>+B41</f>
        <v>-350000</v>
      </c>
      <c r="D54" s="31"/>
      <c r="E54" s="31"/>
      <c r="F54" s="31"/>
      <c r="G54" s="31"/>
      <c r="H54" s="31"/>
    </row>
    <row r="55" spans="1:9" x14ac:dyDescent="0.35">
      <c r="A55" s="68" t="s">
        <v>58</v>
      </c>
      <c r="B55" s="84"/>
      <c r="C55" s="84">
        <f>+B45</f>
        <v>-5000</v>
      </c>
      <c r="D55" s="31"/>
      <c r="E55" s="31"/>
      <c r="F55" s="31"/>
      <c r="G55" s="31"/>
      <c r="H55" s="31"/>
    </row>
    <row r="56" spans="1:9" ht="13.15" thickBot="1" x14ac:dyDescent="0.4">
      <c r="A56" s="68" t="s">
        <v>100</v>
      </c>
      <c r="B56" s="84"/>
      <c r="C56" s="84">
        <f>+B47</f>
        <v>-46600</v>
      </c>
      <c r="D56" s="31"/>
      <c r="E56" s="31"/>
      <c r="F56" s="31"/>
      <c r="G56" s="31"/>
      <c r="H56" s="31"/>
    </row>
    <row r="57" spans="1:9" ht="13.9" thickTop="1" thickBot="1" x14ac:dyDescent="0.45">
      <c r="A57" s="86" t="s">
        <v>60</v>
      </c>
      <c r="B57" s="87">
        <f>SUM(B52:B56)</f>
        <v>0</v>
      </c>
      <c r="C57" s="87">
        <f>SUM(C52:C56)</f>
        <v>32660</v>
      </c>
      <c r="D57" s="237"/>
      <c r="E57" s="237"/>
      <c r="F57" s="237"/>
      <c r="G57" s="237"/>
      <c r="H57" s="237"/>
    </row>
    <row r="58" spans="1:9" ht="13.15" thickTop="1" x14ac:dyDescent="0.35">
      <c r="A58" s="75" t="s">
        <v>61</v>
      </c>
      <c r="B58" s="57">
        <f>-B5</f>
        <v>-200000</v>
      </c>
      <c r="C58" s="57"/>
      <c r="D58" s="31"/>
      <c r="E58" s="31"/>
      <c r="F58" s="31"/>
      <c r="G58" s="31"/>
      <c r="H58" s="31"/>
    </row>
    <row r="59" spans="1:9" ht="13.15" thickBot="1" x14ac:dyDescent="0.4">
      <c r="A59" s="75"/>
      <c r="B59" s="238"/>
      <c r="C59" s="84">
        <f>SUM(B59:B59)</f>
        <v>0</v>
      </c>
      <c r="D59" s="31"/>
      <c r="E59" s="31"/>
      <c r="F59" s="31"/>
      <c r="G59" s="31"/>
      <c r="H59" s="31"/>
    </row>
    <row r="60" spans="1:9" ht="13.9" thickTop="1" thickBot="1" x14ac:dyDescent="0.45">
      <c r="A60" s="86" t="s">
        <v>62</v>
      </c>
      <c r="B60" s="87">
        <f>+B57+B58</f>
        <v>-200000</v>
      </c>
      <c r="C60" s="87">
        <f>+C58</f>
        <v>0</v>
      </c>
      <c r="D60" s="237"/>
      <c r="E60" s="237"/>
      <c r="F60" s="237"/>
      <c r="G60" s="237"/>
      <c r="H60" s="237"/>
    </row>
    <row r="61" spans="1:9" ht="13.15" thickTop="1" x14ac:dyDescent="0.35">
      <c r="A61" s="68" t="s">
        <v>63</v>
      </c>
      <c r="B61" s="84">
        <f>+B13</f>
        <v>100000</v>
      </c>
      <c r="C61" s="84"/>
      <c r="D61" s="31"/>
      <c r="E61" s="31"/>
      <c r="F61" s="31"/>
      <c r="G61" s="31"/>
      <c r="H61" s="31"/>
    </row>
    <row r="62" spans="1:9" x14ac:dyDescent="0.35">
      <c r="A62" s="68" t="s">
        <v>64</v>
      </c>
      <c r="B62" s="84">
        <f>+B21</f>
        <v>150000</v>
      </c>
      <c r="C62" s="84"/>
      <c r="D62" s="31"/>
      <c r="E62" s="31"/>
      <c r="F62" s="31"/>
      <c r="G62" s="31"/>
      <c r="H62" s="31"/>
    </row>
    <row r="63" spans="1:9" ht="13.15" thickBot="1" x14ac:dyDescent="0.4">
      <c r="A63" s="68" t="s">
        <v>65</v>
      </c>
      <c r="B63" s="84" t="e">
        <f>+#REF!</f>
        <v>#REF!</v>
      </c>
      <c r="C63" s="84">
        <f>IF(B67+C57+C60+C61+C62&lt;0,-(B67+C57+C60+C61+C62),0)</f>
        <v>0</v>
      </c>
      <c r="D63" s="31"/>
      <c r="E63" s="31"/>
      <c r="F63" s="31"/>
      <c r="G63" s="31"/>
      <c r="H63" s="31"/>
    </row>
    <row r="64" spans="1:9" ht="13.9" thickTop="1" thickBot="1" x14ac:dyDescent="0.45">
      <c r="A64" s="239" t="s">
        <v>66</v>
      </c>
      <c r="B64" s="91">
        <f>+B62+B61</f>
        <v>250000</v>
      </c>
      <c r="C64" s="91">
        <f>+C62+C61</f>
        <v>0</v>
      </c>
      <c r="D64" s="240"/>
      <c r="E64" s="240"/>
      <c r="F64" s="240"/>
      <c r="G64" s="240"/>
      <c r="H64" s="240"/>
    </row>
    <row r="65" spans="1:11" ht="15.75" thickTop="1" thickBot="1" x14ac:dyDescent="0.4">
      <c r="A65" s="93" t="s">
        <v>67</v>
      </c>
      <c r="B65" s="241">
        <f>+B57+B60+B64</f>
        <v>50000</v>
      </c>
      <c r="C65" s="241">
        <f>+C57+C60+C64</f>
        <v>32660</v>
      </c>
      <c r="D65" s="242"/>
      <c r="E65" s="242"/>
      <c r="F65" s="242"/>
      <c r="G65" s="242"/>
      <c r="H65" s="242"/>
    </row>
    <row r="66" spans="1:11" ht="13.9" thickTop="1" thickBot="1" x14ac:dyDescent="0.4">
      <c r="A66" s="96" t="s">
        <v>68</v>
      </c>
      <c r="B66" s="84">
        <v>0</v>
      </c>
      <c r="C66" s="97">
        <f>+B67</f>
        <v>50000</v>
      </c>
      <c r="D66" s="231"/>
      <c r="E66" s="231"/>
      <c r="F66" s="231"/>
      <c r="G66" s="231"/>
      <c r="H66" s="231"/>
    </row>
    <row r="67" spans="1:11" ht="13.9" thickTop="1" thickBot="1" x14ac:dyDescent="0.4">
      <c r="A67" s="98" t="s">
        <v>69</v>
      </c>
      <c r="B67" s="99">
        <f>+B65+B66</f>
        <v>50000</v>
      </c>
      <c r="C67" s="99">
        <f>+C65+C66</f>
        <v>82660</v>
      </c>
      <c r="D67" s="243"/>
      <c r="E67" s="243"/>
      <c r="F67" s="243"/>
      <c r="G67" s="243"/>
      <c r="H67" s="243"/>
    </row>
    <row r="68" spans="1:11" ht="13.15" thickTop="1" x14ac:dyDescent="0.35"/>
    <row r="71" spans="1:11" ht="15" x14ac:dyDescent="0.4">
      <c r="A71" s="393" t="s">
        <v>74</v>
      </c>
      <c r="B71" s="393"/>
      <c r="C71" s="393"/>
      <c r="D71" s="393"/>
      <c r="E71" s="31"/>
      <c r="F71" s="31"/>
      <c r="G71" s="31"/>
      <c r="H71" s="31"/>
      <c r="I71" s="31"/>
    </row>
    <row r="72" spans="1:11" ht="13.15" x14ac:dyDescent="0.4">
      <c r="A72" s="184"/>
      <c r="B72" s="185" t="s">
        <v>75</v>
      </c>
      <c r="C72" s="186" t="s">
        <v>76</v>
      </c>
      <c r="D72" s="186" t="s">
        <v>77</v>
      </c>
    </row>
    <row r="73" spans="1:11" ht="13.15" x14ac:dyDescent="0.4">
      <c r="A73" s="187" t="s">
        <v>78</v>
      </c>
      <c r="B73" s="188"/>
      <c r="C73" s="189"/>
      <c r="D73" s="189"/>
      <c r="E73" s="31"/>
      <c r="F73" s="31"/>
      <c r="G73" s="190"/>
    </row>
    <row r="74" spans="1:11" ht="13.15" x14ac:dyDescent="0.4">
      <c r="A74" s="191"/>
      <c r="B74" s="192"/>
      <c r="C74" s="193"/>
      <c r="D74" s="193"/>
    </row>
    <row r="75" spans="1:11" x14ac:dyDescent="0.35">
      <c r="A75" s="194" t="s">
        <v>79</v>
      </c>
      <c r="B75" s="195">
        <f>+'[1]Complementos de mujer'!B30</f>
        <v>1400000</v>
      </c>
      <c r="C75" s="196">
        <v>1</v>
      </c>
      <c r="D75" s="195">
        <f>+B75*C75</f>
        <v>1400000</v>
      </c>
      <c r="E75" s="31"/>
    </row>
    <row r="76" spans="1:11" x14ac:dyDescent="0.35">
      <c r="A76" s="194" t="s">
        <v>80</v>
      </c>
      <c r="B76" s="197"/>
      <c r="C76" s="198"/>
      <c r="D76" s="197">
        <f>+C76*B76</f>
        <v>0</v>
      </c>
      <c r="F76" s="313"/>
      <c r="G76" s="315" t="s">
        <v>21</v>
      </c>
      <c r="H76" s="394" t="s">
        <v>22</v>
      </c>
      <c r="I76" s="394"/>
      <c r="J76" s="394"/>
      <c r="K76" s="394"/>
    </row>
    <row r="77" spans="1:11" x14ac:dyDescent="0.35">
      <c r="A77" s="199" t="s">
        <v>81</v>
      </c>
      <c r="B77" s="197">
        <f>+'[1]Complementos de mujer'!C31</f>
        <v>0.35</v>
      </c>
      <c r="C77" s="196">
        <v>1</v>
      </c>
      <c r="D77" s="197">
        <f>+B77*C77</f>
        <v>0.35</v>
      </c>
      <c r="F77" s="314"/>
      <c r="G77" s="316"/>
      <c r="H77" s="200" t="str">
        <f>+'[1]Complementos de mujer'!C29</f>
        <v>BOLSOS</v>
      </c>
      <c r="I77" s="200" t="str">
        <f>+'[1]Complementos de mujer'!D29</f>
        <v>ZAPATERIA</v>
      </c>
      <c r="J77" s="200" t="str">
        <f>+'[1]Complementos de mujer'!E29</f>
        <v>JOYERIA</v>
      </c>
      <c r="K77" s="200" t="s">
        <v>26</v>
      </c>
    </row>
    <row r="78" spans="1:11" ht="13.15" x14ac:dyDescent="0.4">
      <c r="A78" s="194" t="s">
        <v>82</v>
      </c>
      <c r="B78" s="197">
        <f>+'[1]Complementos de mujer'!D31</f>
        <v>0.45</v>
      </c>
      <c r="C78" s="196">
        <v>1</v>
      </c>
      <c r="D78" s="197">
        <f>+B78*C78</f>
        <v>0.45</v>
      </c>
      <c r="F78" s="36" t="s">
        <v>27</v>
      </c>
      <c r="G78" s="38">
        <f>+D75</f>
        <v>1400000</v>
      </c>
      <c r="H78" s="38">
        <f>+$G$78*H79</f>
        <v>489999.99999999994</v>
      </c>
      <c r="I78" s="38">
        <f>+$G$78*I79</f>
        <v>630000</v>
      </c>
      <c r="J78" s="38">
        <f>+$G$78*J79</f>
        <v>70000</v>
      </c>
      <c r="K78" s="39">
        <f>+$G$78*K79</f>
        <v>210000.00000000003</v>
      </c>
    </row>
    <row r="79" spans="1:11" x14ac:dyDescent="0.35">
      <c r="A79" s="194" t="s">
        <v>83</v>
      </c>
      <c r="B79" s="197">
        <f>+'[1]Complementos de mujer'!E31</f>
        <v>0.05</v>
      </c>
      <c r="C79" s="196">
        <v>1</v>
      </c>
      <c r="D79" s="197">
        <f>+B79*C79</f>
        <v>0.05</v>
      </c>
      <c r="F79" s="40" t="s">
        <v>28</v>
      </c>
      <c r="G79" s="41">
        <f>SUM(H79:K79)</f>
        <v>1</v>
      </c>
      <c r="H79" s="201">
        <f>+D77</f>
        <v>0.35</v>
      </c>
      <c r="I79" s="201">
        <f>+D78</f>
        <v>0.45</v>
      </c>
      <c r="J79" s="201">
        <f>+D79</f>
        <v>0.05</v>
      </c>
      <c r="K79" s="201">
        <f>1-H79-I79-J79</f>
        <v>0.15000000000000002</v>
      </c>
    </row>
    <row r="80" spans="1:11" x14ac:dyDescent="0.35">
      <c r="A80" s="194" t="s">
        <v>84</v>
      </c>
      <c r="B80" s="197">
        <f>+'[1]Complementos de mujer'!F31</f>
        <v>0.15000000000000002</v>
      </c>
      <c r="C80" s="198"/>
      <c r="D80" s="197">
        <f>1-D79-D78-D77</f>
        <v>0.14999999999999997</v>
      </c>
      <c r="F80" s="44" t="s">
        <v>29</v>
      </c>
      <c r="G80" s="202">
        <f>-SUM(H80:K80)</f>
        <v>-838600</v>
      </c>
      <c r="H80" s="46">
        <f>+H78*(1-H82)</f>
        <v>284200</v>
      </c>
      <c r="I80" s="46">
        <f>+I78*(1-I82)</f>
        <v>384300</v>
      </c>
      <c r="J80" s="46">
        <f>+J78*(1-J82)</f>
        <v>23099.999999999996</v>
      </c>
      <c r="K80" s="46">
        <f>+K78*(1-K82)</f>
        <v>147000</v>
      </c>
    </row>
    <row r="81" spans="1:11" ht="13.15" x14ac:dyDescent="0.4">
      <c r="A81" s="203" t="s">
        <v>85</v>
      </c>
      <c r="B81" s="204">
        <f>+'[1]Complementos de mujer'!B34</f>
        <v>0.40100000000000002</v>
      </c>
      <c r="C81" s="205">
        <f>+D81/B81</f>
        <v>1</v>
      </c>
      <c r="D81" s="204">
        <f>+G82</f>
        <v>0.40100000000000002</v>
      </c>
      <c r="E81" s="31"/>
      <c r="F81" s="47" t="s">
        <v>30</v>
      </c>
      <c r="G81" s="48">
        <f>SUM(H81:K81)</f>
        <v>561400</v>
      </c>
      <c r="H81" s="49">
        <f>+H78-H80</f>
        <v>205799.99999999994</v>
      </c>
      <c r="I81" s="49">
        <f>+I78-I80</f>
        <v>245700</v>
      </c>
      <c r="J81" s="49">
        <f>+J78-J80</f>
        <v>46900</v>
      </c>
      <c r="K81" s="49">
        <f>+K78-K80</f>
        <v>63000.000000000029</v>
      </c>
    </row>
    <row r="82" spans="1:11" ht="13.15" x14ac:dyDescent="0.4">
      <c r="A82" s="194"/>
      <c r="B82" s="197"/>
      <c r="C82" s="198"/>
      <c r="D82" s="197"/>
      <c r="F82" s="50" t="s">
        <v>31</v>
      </c>
      <c r="G82" s="51">
        <f>+G81/G78</f>
        <v>0.40100000000000002</v>
      </c>
      <c r="H82" s="52">
        <f>+'[1]Complementos de mujer'!C34</f>
        <v>0.42</v>
      </c>
      <c r="I82" s="52">
        <f>+'[1]Complementos de mujer'!D34</f>
        <v>0.39</v>
      </c>
      <c r="J82" s="52">
        <f>+'[1]Complementos de mujer'!E34</f>
        <v>0.67</v>
      </c>
      <c r="K82" s="53">
        <f>+'[1]Complementos de mujer'!F34</f>
        <v>0.3</v>
      </c>
    </row>
    <row r="83" spans="1:11" ht="13.15" x14ac:dyDescent="0.4">
      <c r="A83" s="187" t="s">
        <v>86</v>
      </c>
      <c r="B83" s="206"/>
      <c r="C83" s="207"/>
      <c r="D83" s="206"/>
      <c r="F83" s="208"/>
      <c r="G83" s="209"/>
      <c r="H83" s="210"/>
      <c r="I83" s="210"/>
      <c r="J83" s="210"/>
      <c r="K83" s="211"/>
    </row>
    <row r="84" spans="1:11" ht="13.15" x14ac:dyDescent="0.4">
      <c r="A84" s="191"/>
      <c r="B84" s="197"/>
      <c r="C84" s="198"/>
      <c r="D84" s="197"/>
      <c r="F84" s="208"/>
      <c r="G84" s="209"/>
      <c r="H84" s="210"/>
      <c r="I84" s="210"/>
      <c r="J84" s="210"/>
      <c r="K84" s="211"/>
    </row>
    <row r="85" spans="1:11" x14ac:dyDescent="0.35">
      <c r="A85" s="194" t="s">
        <v>87</v>
      </c>
      <c r="B85" s="195">
        <f>-'[1]Complementos de mujer'!B42</f>
        <v>350000</v>
      </c>
      <c r="C85" s="196">
        <v>1</v>
      </c>
      <c r="D85" s="195">
        <f>+B85*C85</f>
        <v>350000</v>
      </c>
      <c r="E85" s="31"/>
      <c r="F85" s="31"/>
      <c r="G85" s="190"/>
    </row>
    <row r="86" spans="1:11" x14ac:dyDescent="0.35">
      <c r="A86" s="194" t="s">
        <v>88</v>
      </c>
      <c r="B86" s="197">
        <v>0.05</v>
      </c>
      <c r="C86" s="196">
        <v>1</v>
      </c>
      <c r="D86" s="197">
        <f>+B86*C86</f>
        <v>0.05</v>
      </c>
      <c r="E86" s="31"/>
      <c r="F86" s="190"/>
    </row>
    <row r="87" spans="1:11" x14ac:dyDescent="0.35">
      <c r="A87" s="194" t="s">
        <v>89</v>
      </c>
      <c r="B87" s="197">
        <v>0.25</v>
      </c>
      <c r="C87" s="196">
        <v>1</v>
      </c>
      <c r="D87" s="197">
        <f>+B87*C87</f>
        <v>0.25</v>
      </c>
      <c r="E87" s="31"/>
      <c r="F87" s="190"/>
    </row>
    <row r="88" spans="1:11" x14ac:dyDescent="0.35">
      <c r="A88" s="194"/>
      <c r="B88" s="197"/>
      <c r="C88" s="198"/>
      <c r="D88" s="197"/>
      <c r="F88" s="190"/>
    </row>
    <row r="89" spans="1:11" ht="13.15" x14ac:dyDescent="0.4">
      <c r="A89" s="187" t="s">
        <v>90</v>
      </c>
      <c r="B89" s="206"/>
      <c r="C89" s="207"/>
      <c r="D89" s="206"/>
      <c r="F89" s="190"/>
    </row>
    <row r="90" spans="1:11" ht="13.15" x14ac:dyDescent="0.4">
      <c r="A90" s="212"/>
      <c r="B90" s="213"/>
      <c r="C90" s="214"/>
      <c r="D90" s="213"/>
      <c r="F90" s="190"/>
    </row>
    <row r="91" spans="1:11" x14ac:dyDescent="0.35">
      <c r="A91" s="194" t="s">
        <v>91</v>
      </c>
      <c r="B91" s="195">
        <v>15</v>
      </c>
      <c r="C91" s="196">
        <v>1</v>
      </c>
      <c r="D91" s="215">
        <f>+B91*C91</f>
        <v>15</v>
      </c>
      <c r="E91" s="31"/>
      <c r="F91" s="31"/>
      <c r="G91" s="190"/>
    </row>
    <row r="92" spans="1:11" x14ac:dyDescent="0.35">
      <c r="A92" s="194" t="s">
        <v>92</v>
      </c>
      <c r="B92" s="195">
        <v>15</v>
      </c>
      <c r="C92" s="196">
        <v>1</v>
      </c>
      <c r="D92" s="215">
        <f>+B92*C92</f>
        <v>15</v>
      </c>
      <c r="E92" s="31"/>
      <c r="F92" s="31"/>
      <c r="G92" s="190"/>
    </row>
    <row r="93" spans="1:11" x14ac:dyDescent="0.35">
      <c r="A93" s="194" t="s">
        <v>93</v>
      </c>
      <c r="B93" s="195">
        <v>30</v>
      </c>
      <c r="C93" s="196">
        <v>1</v>
      </c>
      <c r="D93" s="195">
        <f>+C93*B93</f>
        <v>30</v>
      </c>
      <c r="E93" s="31"/>
      <c r="F93" s="31"/>
      <c r="G93" s="190"/>
    </row>
    <row r="94" spans="1:11" x14ac:dyDescent="0.35">
      <c r="B94" s="31"/>
      <c r="F94" s="190"/>
    </row>
    <row r="95" spans="1:11" x14ac:dyDescent="0.35">
      <c r="A95" s="194" t="s">
        <v>94</v>
      </c>
      <c r="B95" s="31"/>
      <c r="D95" s="195">
        <f>-(+B39+(B39/360)*D93)</f>
        <v>908483.33333333337</v>
      </c>
      <c r="F95" s="190"/>
    </row>
    <row r="96" spans="1:11" x14ac:dyDescent="0.35">
      <c r="F96" s="190"/>
    </row>
    <row r="97" spans="1:6" ht="13.15" x14ac:dyDescent="0.4">
      <c r="A97" s="187" t="s">
        <v>95</v>
      </c>
      <c r="B97" s="206"/>
      <c r="C97" s="207"/>
      <c r="D97" s="206"/>
      <c r="F97" s="190"/>
    </row>
    <row r="98" spans="1:6" ht="13.15" x14ac:dyDescent="0.4">
      <c r="A98" s="212"/>
      <c r="B98" s="213"/>
      <c r="C98" s="214"/>
      <c r="D98" s="213"/>
      <c r="F98" s="190"/>
    </row>
    <row r="99" spans="1:6" x14ac:dyDescent="0.35">
      <c r="A99" s="194" t="s">
        <v>96</v>
      </c>
      <c r="B99" s="195">
        <f>+'[1]Complementos de mujer'!B5</f>
        <v>200000</v>
      </c>
      <c r="C99" s="196">
        <v>1</v>
      </c>
      <c r="D99" s="195">
        <f>+B99*C99</f>
        <v>200000</v>
      </c>
      <c r="E99" s="31"/>
      <c r="F99" s="190"/>
    </row>
    <row r="100" spans="1:6" x14ac:dyDescent="0.35">
      <c r="A100" s="194" t="s">
        <v>97</v>
      </c>
      <c r="B100" s="195">
        <f>+'[1]Complementos de mujer'!B13</f>
        <v>100000</v>
      </c>
      <c r="C100" s="196">
        <v>1</v>
      </c>
      <c r="D100" s="195">
        <f>+B100*C100</f>
        <v>100000</v>
      </c>
      <c r="E100" s="31"/>
      <c r="F100" s="190"/>
    </row>
    <row r="101" spans="1:6" x14ac:dyDescent="0.35">
      <c r="A101" s="194" t="s">
        <v>98</v>
      </c>
      <c r="B101" s="195">
        <f>+'[1]Complementos de mujer'!B22</f>
        <v>150000</v>
      </c>
      <c r="C101" s="196">
        <v>1</v>
      </c>
      <c r="D101" s="195">
        <f>+B101*C101</f>
        <v>150000</v>
      </c>
      <c r="E101" s="31"/>
      <c r="F101" s="190"/>
    </row>
    <row r="102" spans="1:6" x14ac:dyDescent="0.35">
      <c r="F102" s="190"/>
    </row>
    <row r="103" spans="1:6" x14ac:dyDescent="0.35">
      <c r="F103" s="190"/>
    </row>
    <row r="112" spans="1:6" x14ac:dyDescent="0.35">
      <c r="C112" s="281" t="s">
        <v>117</v>
      </c>
      <c r="D112" s="282">
        <v>922693</v>
      </c>
    </row>
  </sheetData>
  <mergeCells count="39">
    <mergeCell ref="A1:I1"/>
    <mergeCell ref="A71:D71"/>
    <mergeCell ref="F76:F77"/>
    <mergeCell ref="G76:G77"/>
    <mergeCell ref="H76:K76"/>
    <mergeCell ref="H19:H20"/>
    <mergeCell ref="I19:I20"/>
    <mergeCell ref="A35:A36"/>
    <mergeCell ref="B35:B36"/>
    <mergeCell ref="C35:C36"/>
    <mergeCell ref="A50:A51"/>
    <mergeCell ref="B50:B51"/>
    <mergeCell ref="C50:C51"/>
    <mergeCell ref="G11:G12"/>
    <mergeCell ref="H11:H12"/>
    <mergeCell ref="I11:I12"/>
    <mergeCell ref="F19:F20"/>
    <mergeCell ref="G19:G20"/>
    <mergeCell ref="A11:A12"/>
    <mergeCell ref="B11:B12"/>
    <mergeCell ref="C11:C12"/>
    <mergeCell ref="D11:D12"/>
    <mergeCell ref="E11:E12"/>
    <mergeCell ref="F11:F12"/>
    <mergeCell ref="A19:A20"/>
    <mergeCell ref="B19:B20"/>
    <mergeCell ref="C19:C20"/>
    <mergeCell ref="D19:D20"/>
    <mergeCell ref="E19:E20"/>
    <mergeCell ref="A2:I2"/>
    <mergeCell ref="A3:A4"/>
    <mergeCell ref="B3:B4"/>
    <mergeCell ref="C3:C4"/>
    <mergeCell ref="D3:D4"/>
    <mergeCell ref="E3:E4"/>
    <mergeCell ref="F3:F4"/>
    <mergeCell ref="G3:G4"/>
    <mergeCell ref="H3:H4"/>
    <mergeCell ref="I3:I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77ADB-0017-4FAF-B60F-BCF9C4BEBBA7}">
  <dimension ref="A1:K103"/>
  <sheetViews>
    <sheetView workbookViewId="0">
      <selection activeCell="M12" sqref="M12"/>
    </sheetView>
  </sheetViews>
  <sheetFormatPr baseColWidth="10" defaultRowHeight="12.75" x14ac:dyDescent="0.35"/>
  <cols>
    <col min="1" max="2" width="16.33203125" customWidth="1"/>
    <col min="3" max="3" width="17.6640625" customWidth="1"/>
  </cols>
  <sheetData>
    <row r="1" spans="1:9" ht="144.75" customHeight="1" thickBot="1" x14ac:dyDescent="0.4">
      <c r="A1" s="395" t="s">
        <v>121</v>
      </c>
      <c r="B1" s="396"/>
      <c r="C1" s="396"/>
      <c r="D1" s="396"/>
      <c r="E1" s="396"/>
      <c r="F1" s="396"/>
      <c r="G1" s="396"/>
      <c r="H1" s="396"/>
      <c r="I1" s="396"/>
    </row>
    <row r="2" spans="1:9" ht="18" thickTop="1" thickBot="1" x14ac:dyDescent="0.5">
      <c r="A2" s="336" t="s">
        <v>0</v>
      </c>
      <c r="B2" s="337"/>
      <c r="C2" s="337"/>
      <c r="D2" s="337"/>
      <c r="E2" s="337"/>
      <c r="F2" s="337"/>
      <c r="G2" s="337"/>
      <c r="H2" s="337"/>
      <c r="I2" s="338"/>
    </row>
    <row r="3" spans="1:9" ht="13.15" thickTop="1" x14ac:dyDescent="0.35">
      <c r="A3" s="339" t="s">
        <v>1</v>
      </c>
      <c r="B3" s="341" t="s">
        <v>2</v>
      </c>
      <c r="C3" s="343">
        <v>1</v>
      </c>
      <c r="D3" s="343">
        <f>+C3+1</f>
        <v>2</v>
      </c>
      <c r="E3" s="343">
        <f>+D3+1</f>
        <v>3</v>
      </c>
      <c r="F3" s="343">
        <f>+E3+1</f>
        <v>4</v>
      </c>
      <c r="G3" s="343">
        <f>+F3+1</f>
        <v>5</v>
      </c>
      <c r="H3" s="343">
        <f>+G3+1</f>
        <v>6</v>
      </c>
      <c r="I3" s="345" t="s">
        <v>3</v>
      </c>
    </row>
    <row r="4" spans="1:9" ht="13.15" thickBot="1" x14ac:dyDescent="0.4">
      <c r="A4" s="340"/>
      <c r="B4" s="342"/>
      <c r="C4" s="344"/>
      <c r="D4" s="344"/>
      <c r="E4" s="344"/>
      <c r="F4" s="344"/>
      <c r="G4" s="344"/>
      <c r="H4" s="344"/>
      <c r="I4" s="346"/>
    </row>
    <row r="5" spans="1:9" ht="13.15" thickTop="1" x14ac:dyDescent="0.35">
      <c r="A5" s="2" t="str">
        <f>+'[1]Complementos de mujer'!A5</f>
        <v>Canon</v>
      </c>
      <c r="B5" s="57">
        <f>IF(B$24=0,0,D99)</f>
        <v>200000</v>
      </c>
      <c r="C5" s="216"/>
      <c r="D5" s="217"/>
      <c r="E5" s="217"/>
      <c r="F5" s="218">
        <f>IF($D$43=1,B43,0)</f>
        <v>-20000</v>
      </c>
      <c r="G5" s="217"/>
      <c r="H5" s="219"/>
      <c r="I5" s="57">
        <f>SUM(B5:H5)</f>
        <v>180000</v>
      </c>
    </row>
    <row r="6" spans="1:9" x14ac:dyDescent="0.35">
      <c r="A6" s="2" t="s">
        <v>5</v>
      </c>
      <c r="B6" s="84">
        <v>0</v>
      </c>
      <c r="C6" s="216"/>
      <c r="D6" s="218">
        <v>59215</v>
      </c>
      <c r="E6" s="218"/>
      <c r="F6" s="218"/>
      <c r="G6" s="218"/>
      <c r="H6" s="220"/>
      <c r="I6" s="84">
        <f>SUM(B6:H6)</f>
        <v>59215</v>
      </c>
    </row>
    <row r="7" spans="1:9" x14ac:dyDescent="0.35">
      <c r="A7" s="2" t="s">
        <v>6</v>
      </c>
      <c r="B7" s="84">
        <v>0</v>
      </c>
      <c r="C7" s="216">
        <v>100000</v>
      </c>
      <c r="D7" s="218"/>
      <c r="E7" s="218"/>
      <c r="F7" s="218"/>
      <c r="G7" s="218"/>
      <c r="H7" s="220"/>
      <c r="I7" s="84">
        <f>SUM(B7:H7)</f>
        <v>100000</v>
      </c>
    </row>
    <row r="8" spans="1:9" ht="13.15" thickBot="1" x14ac:dyDescent="0.4">
      <c r="A8" s="2" t="s">
        <v>7</v>
      </c>
      <c r="B8" s="84">
        <f>IF(B$24=0,0,B21+B13-B5)</f>
        <v>50000</v>
      </c>
      <c r="C8" s="216">
        <f>IF($D$37=1,B38-C7,0)</f>
        <v>1300000</v>
      </c>
      <c r="D8" s="218">
        <v>-865740</v>
      </c>
      <c r="E8" s="218">
        <f>IF($D$41=1,C54,0)</f>
        <v>-350000</v>
      </c>
      <c r="G8" s="218">
        <f>IF($D$45=1,C55,0)</f>
        <v>-5000</v>
      </c>
      <c r="H8" s="220">
        <f>IF($D$47=1,C56,0)</f>
        <v>-46600</v>
      </c>
      <c r="I8" s="84">
        <f>SUM(B8:H8)</f>
        <v>82660</v>
      </c>
    </row>
    <row r="9" spans="1:9" ht="15.75" thickTop="1" thickBot="1" x14ac:dyDescent="0.4">
      <c r="A9" s="8" t="s">
        <v>8</v>
      </c>
      <c r="B9" s="9">
        <f t="shared" ref="B9:I9" si="0">SUM(B5:B8)</f>
        <v>250000</v>
      </c>
      <c r="C9" s="221">
        <f t="shared" si="0"/>
        <v>1400000</v>
      </c>
      <c r="D9" s="10">
        <f t="shared" si="0"/>
        <v>-806525</v>
      </c>
      <c r="E9" s="10">
        <f t="shared" si="0"/>
        <v>-350000</v>
      </c>
      <c r="F9" s="10">
        <f t="shared" si="0"/>
        <v>-20000</v>
      </c>
      <c r="G9" s="10">
        <f t="shared" si="0"/>
        <v>-5000</v>
      </c>
      <c r="H9" s="10">
        <f t="shared" si="0"/>
        <v>-46600</v>
      </c>
      <c r="I9" s="9">
        <f t="shared" si="0"/>
        <v>421875</v>
      </c>
    </row>
    <row r="10" spans="1:9" ht="15.75" thickTop="1" thickBot="1" x14ac:dyDescent="0.4">
      <c r="A10" s="11"/>
      <c r="B10" s="12"/>
      <c r="C10" s="12"/>
      <c r="D10" s="12"/>
      <c r="E10" s="12"/>
      <c r="F10" s="12"/>
      <c r="G10" s="12"/>
      <c r="H10" s="12"/>
      <c r="I10" s="222"/>
    </row>
    <row r="11" spans="1:9" ht="13.15" thickTop="1" x14ac:dyDescent="0.35">
      <c r="A11" s="332" t="s">
        <v>9</v>
      </c>
      <c r="B11" s="326" t="str">
        <f t="shared" ref="B11:I11" si="1">+B3</f>
        <v>BALANCE INICIAL</v>
      </c>
      <c r="C11" s="334">
        <f t="shared" si="1"/>
        <v>1</v>
      </c>
      <c r="D11" s="324">
        <f t="shared" si="1"/>
        <v>2</v>
      </c>
      <c r="E11" s="324">
        <f t="shared" si="1"/>
        <v>3</v>
      </c>
      <c r="F11" s="324">
        <f t="shared" si="1"/>
        <v>4</v>
      </c>
      <c r="G11" s="324">
        <f t="shared" si="1"/>
        <v>5</v>
      </c>
      <c r="H11" s="387">
        <f t="shared" si="1"/>
        <v>6</v>
      </c>
      <c r="I11" s="326" t="str">
        <f t="shared" si="1"/>
        <v>BALANCE FINAL</v>
      </c>
    </row>
    <row r="12" spans="1:9" ht="13.15" thickBot="1" x14ac:dyDescent="0.4">
      <c r="A12" s="333"/>
      <c r="B12" s="327"/>
      <c r="C12" s="335"/>
      <c r="D12" s="325"/>
      <c r="E12" s="325"/>
      <c r="F12" s="325"/>
      <c r="G12" s="325"/>
      <c r="H12" s="388"/>
      <c r="I12" s="327"/>
    </row>
    <row r="13" spans="1:9" ht="13.15" thickTop="1" x14ac:dyDescent="0.35">
      <c r="A13" s="14" t="s">
        <v>10</v>
      </c>
      <c r="B13" s="57">
        <f>IF(B$24=0,0,D100)</f>
        <v>100000</v>
      </c>
      <c r="C13" s="223"/>
      <c r="D13" s="217"/>
      <c r="E13" s="217"/>
      <c r="F13" s="217"/>
      <c r="G13" s="217"/>
      <c r="H13" s="219"/>
      <c r="I13" s="84">
        <f>SUM(B13:H13)</f>
        <v>100000</v>
      </c>
    </row>
    <row r="14" spans="1:9" x14ac:dyDescent="0.35">
      <c r="A14" s="2" t="s">
        <v>11</v>
      </c>
      <c r="B14" s="84"/>
      <c r="C14" s="216"/>
      <c r="D14" s="218">
        <v>32075</v>
      </c>
      <c r="E14" s="218"/>
      <c r="F14" s="218"/>
      <c r="G14" s="218"/>
      <c r="H14" s="220"/>
      <c r="I14" s="84">
        <f>SUM(B14:H14)</f>
        <v>32075</v>
      </c>
    </row>
    <row r="15" spans="1:9" x14ac:dyDescent="0.35">
      <c r="A15" s="2" t="s">
        <v>12</v>
      </c>
      <c r="B15" s="84"/>
      <c r="C15" s="216"/>
      <c r="D15" s="218"/>
      <c r="E15" s="218"/>
      <c r="F15" s="218"/>
      <c r="G15" s="218"/>
      <c r="H15" s="220"/>
      <c r="I15" s="84">
        <f>SUM(B15:H15)</f>
        <v>0</v>
      </c>
    </row>
    <row r="16" spans="1:9" ht="13.15" thickBot="1" x14ac:dyDescent="0.4">
      <c r="A16" s="2" t="s">
        <v>13</v>
      </c>
      <c r="B16" s="84"/>
      <c r="C16" s="216"/>
      <c r="D16" s="218"/>
      <c r="E16" s="218"/>
      <c r="F16" s="218"/>
      <c r="G16" s="218"/>
      <c r="H16" s="220"/>
      <c r="I16" s="84">
        <f>SUM(B16:H16)</f>
        <v>0</v>
      </c>
    </row>
    <row r="17" spans="1:11" ht="13.9" thickTop="1" thickBot="1" x14ac:dyDescent="0.45">
      <c r="A17" s="17" t="s">
        <v>15</v>
      </c>
      <c r="B17" s="18">
        <f t="shared" ref="B17:I17" si="2">SUM(B13:B16)</f>
        <v>100000</v>
      </c>
      <c r="C17" s="224">
        <f t="shared" si="2"/>
        <v>0</v>
      </c>
      <c r="D17" s="18">
        <f t="shared" si="2"/>
        <v>32075</v>
      </c>
      <c r="E17" s="18">
        <f t="shared" si="2"/>
        <v>0</v>
      </c>
      <c r="F17" s="18">
        <f t="shared" si="2"/>
        <v>0</v>
      </c>
      <c r="G17" s="18">
        <f t="shared" si="2"/>
        <v>0</v>
      </c>
      <c r="H17" s="225">
        <f t="shared" si="2"/>
        <v>0</v>
      </c>
      <c r="I17" s="18">
        <f t="shared" si="2"/>
        <v>132075</v>
      </c>
      <c r="K17" s="31"/>
    </row>
    <row r="18" spans="1:11" ht="13.9" thickTop="1" thickBot="1" x14ac:dyDescent="0.45">
      <c r="A18" s="19"/>
      <c r="B18" s="12"/>
      <c r="C18" s="226"/>
      <c r="D18" s="226"/>
      <c r="E18" s="226"/>
      <c r="F18" s="226"/>
      <c r="G18" s="226"/>
      <c r="H18" s="226"/>
      <c r="I18" s="222"/>
    </row>
    <row r="19" spans="1:11" ht="13.15" thickTop="1" x14ac:dyDescent="0.35">
      <c r="A19" s="328" t="s">
        <v>16</v>
      </c>
      <c r="B19" s="311" t="s">
        <v>2</v>
      </c>
      <c r="C19" s="330">
        <f t="shared" ref="C19:H19" si="3">+C11</f>
        <v>1</v>
      </c>
      <c r="D19" s="309">
        <f t="shared" si="3"/>
        <v>2</v>
      </c>
      <c r="E19" s="309">
        <f t="shared" si="3"/>
        <v>3</v>
      </c>
      <c r="F19" s="309">
        <f t="shared" si="3"/>
        <v>4</v>
      </c>
      <c r="G19" s="309">
        <f t="shared" si="3"/>
        <v>5</v>
      </c>
      <c r="H19" s="391">
        <f t="shared" si="3"/>
        <v>6</v>
      </c>
      <c r="I19" s="311" t="s">
        <v>3</v>
      </c>
    </row>
    <row r="20" spans="1:11" ht="13.15" thickBot="1" x14ac:dyDescent="0.4">
      <c r="A20" s="329"/>
      <c r="B20" s="312"/>
      <c r="C20" s="331"/>
      <c r="D20" s="310"/>
      <c r="E20" s="310"/>
      <c r="F20" s="310"/>
      <c r="G20" s="310"/>
      <c r="H20" s="392"/>
      <c r="I20" s="312"/>
    </row>
    <row r="21" spans="1:11" ht="13.15" thickTop="1" x14ac:dyDescent="0.35">
      <c r="A21" s="14" t="s">
        <v>17</v>
      </c>
      <c r="B21" s="57">
        <f>IF(B$24=0,0,D101)</f>
        <v>150000</v>
      </c>
      <c r="C21" s="223"/>
      <c r="D21" s="217"/>
      <c r="E21" s="217"/>
      <c r="F21" s="217"/>
      <c r="G21" s="217"/>
      <c r="H21" s="219"/>
      <c r="I21" s="57">
        <f>SUM(B21:H21)</f>
        <v>150000</v>
      </c>
    </row>
    <row r="22" spans="1:11" ht="13.15" thickBot="1" x14ac:dyDescent="0.4">
      <c r="A22" s="22" t="s">
        <v>18</v>
      </c>
      <c r="B22" s="84"/>
      <c r="C22" s="216">
        <f>IF($D$37=1,B37,0)</f>
        <v>1400000</v>
      </c>
      <c r="D22" s="227">
        <f>IF($D$39=1,B39,0)</f>
        <v>-838600</v>
      </c>
      <c r="E22" s="218">
        <f>IF($D$41=1,B41,0)</f>
        <v>-350000</v>
      </c>
      <c r="F22" s="218">
        <f>IF($D$43=1,B43,0)</f>
        <v>-20000</v>
      </c>
      <c r="G22" s="218">
        <f>IF($D$45=1,B45,0)</f>
        <v>-5000</v>
      </c>
      <c r="H22" s="220">
        <f>IF($D$47=1,B47,0)</f>
        <v>-46600</v>
      </c>
      <c r="I22" s="84">
        <f>SUM(B22:H22)</f>
        <v>139800</v>
      </c>
    </row>
    <row r="23" spans="1:11" ht="15.75" thickTop="1" thickBot="1" x14ac:dyDescent="0.4">
      <c r="A23" s="23" t="s">
        <v>19</v>
      </c>
      <c r="B23" s="24">
        <f t="shared" ref="B23:I23" si="4">SUM(B21:B22)</f>
        <v>150000</v>
      </c>
      <c r="C23" s="228">
        <f t="shared" si="4"/>
        <v>1400000</v>
      </c>
      <c r="D23" s="24">
        <f t="shared" si="4"/>
        <v>-838600</v>
      </c>
      <c r="E23" s="24">
        <f t="shared" si="4"/>
        <v>-350000</v>
      </c>
      <c r="F23" s="24">
        <f t="shared" si="4"/>
        <v>-20000</v>
      </c>
      <c r="G23" s="24">
        <f t="shared" si="4"/>
        <v>-5000</v>
      </c>
      <c r="H23" s="229">
        <f t="shared" si="4"/>
        <v>-46600</v>
      </c>
      <c r="I23" s="24">
        <f t="shared" si="4"/>
        <v>289800</v>
      </c>
    </row>
    <row r="24" spans="1:11" ht="15.4" thickTop="1" x14ac:dyDescent="0.35">
      <c r="A24" s="230"/>
      <c r="B24" s="26">
        <v>1</v>
      </c>
      <c r="C24" s="231"/>
      <c r="D24" s="231"/>
      <c r="E24" s="231"/>
      <c r="F24" s="231"/>
      <c r="G24" s="231"/>
      <c r="H24" s="231"/>
      <c r="I24" s="231"/>
    </row>
    <row r="25" spans="1:11" x14ac:dyDescent="0.35">
      <c r="A25" s="232" t="s">
        <v>20</v>
      </c>
      <c r="B25" s="29">
        <f t="shared" ref="B25:I25" si="5">+B9-B17-B23</f>
        <v>0</v>
      </c>
      <c r="C25" s="29">
        <f t="shared" si="5"/>
        <v>0</v>
      </c>
      <c r="D25" s="29">
        <f t="shared" si="5"/>
        <v>0</v>
      </c>
      <c r="E25" s="29">
        <f t="shared" si="5"/>
        <v>0</v>
      </c>
      <c r="F25" s="29">
        <f t="shared" si="5"/>
        <v>0</v>
      </c>
      <c r="G25" s="29">
        <f t="shared" si="5"/>
        <v>0</v>
      </c>
      <c r="H25" s="29">
        <f t="shared" si="5"/>
        <v>0</v>
      </c>
      <c r="I25" s="29">
        <f t="shared" si="5"/>
        <v>0</v>
      </c>
    </row>
    <row r="26" spans="1:11" x14ac:dyDescent="0.35">
      <c r="B26" s="31">
        <f>+B9-B17-B23</f>
        <v>0</v>
      </c>
      <c r="C26" s="31"/>
      <c r="D26" s="31"/>
      <c r="E26" s="31"/>
      <c r="F26" s="31"/>
      <c r="G26" s="233"/>
      <c r="H26" s="234"/>
      <c r="I26" s="234"/>
    </row>
    <row r="27" spans="1:11" x14ac:dyDescent="0.35">
      <c r="G27" s="233"/>
      <c r="H27" s="234"/>
      <c r="I27" s="234"/>
    </row>
    <row r="28" spans="1:11" x14ac:dyDescent="0.35">
      <c r="G28" s="233"/>
      <c r="H28" s="234"/>
      <c r="I28" s="234"/>
    </row>
    <row r="29" spans="1:11" x14ac:dyDescent="0.35">
      <c r="G29" s="233"/>
      <c r="H29" s="234"/>
      <c r="I29" s="234"/>
    </row>
    <row r="30" spans="1:11" x14ac:dyDescent="0.35">
      <c r="G30" s="233"/>
      <c r="H30" s="234"/>
      <c r="I30" s="234"/>
    </row>
    <row r="31" spans="1:11" x14ac:dyDescent="0.35">
      <c r="G31" s="233"/>
      <c r="H31" s="234"/>
      <c r="I31" s="234"/>
    </row>
    <row r="32" spans="1:11" x14ac:dyDescent="0.35">
      <c r="G32" s="233"/>
      <c r="H32" s="234"/>
      <c r="I32" s="234"/>
    </row>
    <row r="33" spans="1:9" x14ac:dyDescent="0.35">
      <c r="G33" s="233"/>
      <c r="H33" s="234"/>
      <c r="I33" s="234"/>
    </row>
    <row r="34" spans="1:9" ht="13.15" thickBot="1" x14ac:dyDescent="0.4">
      <c r="B34" s="31"/>
      <c r="C34" s="31"/>
      <c r="D34" s="31"/>
      <c r="E34" s="31"/>
      <c r="F34" s="31"/>
      <c r="G34" s="233"/>
      <c r="H34" s="234"/>
      <c r="I34" s="234"/>
    </row>
    <row r="35" spans="1:9" ht="13.15" thickTop="1" x14ac:dyDescent="0.35">
      <c r="A35" s="318" t="s">
        <v>32</v>
      </c>
      <c r="B35" s="320" t="s">
        <v>33</v>
      </c>
      <c r="C35" s="322" t="s">
        <v>34</v>
      </c>
      <c r="D35" s="235"/>
      <c r="E35" s="235"/>
    </row>
    <row r="36" spans="1:9" ht="13.15" thickBot="1" x14ac:dyDescent="0.4">
      <c r="A36" s="319"/>
      <c r="B36" s="321"/>
      <c r="C36" s="323"/>
    </row>
    <row r="37" spans="1:9" ht="13.5" thickTop="1" x14ac:dyDescent="0.4">
      <c r="A37" s="56" t="s">
        <v>35</v>
      </c>
      <c r="B37" s="57">
        <f>IF($D37=1,G78,0)</f>
        <v>1400000</v>
      </c>
      <c r="C37" s="58">
        <f t="shared" ref="C37:C48" si="6">+B37/$B$37</f>
        <v>1</v>
      </c>
      <c r="D37" s="26">
        <v>1</v>
      </c>
      <c r="E37" s="59" t="s">
        <v>36</v>
      </c>
    </row>
    <row r="38" spans="1:9" ht="13.5" thickBot="1" x14ac:dyDescent="0.45">
      <c r="A38" s="60" t="s">
        <v>37</v>
      </c>
      <c r="B38" s="61">
        <f>+B37</f>
        <v>1400000</v>
      </c>
      <c r="C38" s="62">
        <f t="shared" si="6"/>
        <v>1</v>
      </c>
    </row>
    <row r="39" spans="1:9" ht="13.15" thickTop="1" x14ac:dyDescent="0.35">
      <c r="A39" s="63" t="s">
        <v>38</v>
      </c>
      <c r="B39" s="57">
        <f>IF($D39=1,G80,0)</f>
        <v>-838600</v>
      </c>
      <c r="C39" s="64">
        <f t="shared" si="6"/>
        <v>-0.59899999999999998</v>
      </c>
      <c r="D39" s="26">
        <v>1</v>
      </c>
      <c r="E39" s="59" t="s">
        <v>39</v>
      </c>
    </row>
    <row r="40" spans="1:9" ht="13.15" x14ac:dyDescent="0.4">
      <c r="A40" s="65" t="s">
        <v>40</v>
      </c>
      <c r="B40" s="66">
        <f>+B37+B39</f>
        <v>561400</v>
      </c>
      <c r="C40" s="67">
        <f t="shared" si="6"/>
        <v>0.40100000000000002</v>
      </c>
    </row>
    <row r="41" spans="1:9" x14ac:dyDescent="0.35">
      <c r="A41" s="68" t="s">
        <v>41</v>
      </c>
      <c r="B41" s="69">
        <f>IF($D41=1,-D85,0)</f>
        <v>-350000</v>
      </c>
      <c r="C41" s="70">
        <f t="shared" si="6"/>
        <v>-0.25</v>
      </c>
      <c r="D41" s="26">
        <v>1</v>
      </c>
      <c r="E41" s="59" t="s">
        <v>42</v>
      </c>
    </row>
    <row r="42" spans="1:9" ht="13.15" x14ac:dyDescent="0.4">
      <c r="A42" s="71" t="s">
        <v>43</v>
      </c>
      <c r="B42" s="72">
        <f>+B40+B41</f>
        <v>211400</v>
      </c>
      <c r="C42" s="67">
        <f t="shared" si="6"/>
        <v>0.151</v>
      </c>
      <c r="F42" s="73"/>
      <c r="G42" s="73"/>
      <c r="H42" s="73"/>
    </row>
    <row r="43" spans="1:9" x14ac:dyDescent="0.35">
      <c r="A43" s="68" t="s">
        <v>44</v>
      </c>
      <c r="B43" s="69">
        <f>IF($D43=1,-B5/10,0)</f>
        <v>-20000</v>
      </c>
      <c r="C43" s="70">
        <f t="shared" si="6"/>
        <v>-1.4285714285714285E-2</v>
      </c>
      <c r="D43" s="26">
        <v>1</v>
      </c>
      <c r="E43" s="59" t="s">
        <v>45</v>
      </c>
      <c r="F43" s="74"/>
      <c r="G43" s="74"/>
      <c r="H43" s="74"/>
    </row>
    <row r="44" spans="1:9" ht="13.15" x14ac:dyDescent="0.4">
      <c r="A44" s="71" t="s">
        <v>46</v>
      </c>
      <c r="B44" s="72">
        <f>+B42+B43</f>
        <v>191400</v>
      </c>
      <c r="C44" s="67">
        <f t="shared" si="6"/>
        <v>0.1367142857142857</v>
      </c>
      <c r="F44" s="73"/>
      <c r="G44" s="73"/>
      <c r="H44" s="73"/>
    </row>
    <row r="45" spans="1:9" x14ac:dyDescent="0.35">
      <c r="A45" s="75" t="s">
        <v>47</v>
      </c>
      <c r="B45" s="69">
        <f>IF($D45=1,-B13*D86,0)</f>
        <v>-5000</v>
      </c>
      <c r="C45" s="70">
        <f t="shared" si="6"/>
        <v>-3.5714285714285713E-3</v>
      </c>
      <c r="D45" s="26">
        <v>1</v>
      </c>
      <c r="E45" s="59" t="s">
        <v>48</v>
      </c>
      <c r="F45" s="74"/>
      <c r="G45" s="74"/>
      <c r="H45" s="74"/>
    </row>
    <row r="46" spans="1:9" ht="13.15" x14ac:dyDescent="0.4">
      <c r="A46" s="71" t="s">
        <v>49</v>
      </c>
      <c r="B46" s="72">
        <f>+B44+B45</f>
        <v>186400</v>
      </c>
      <c r="C46" s="67">
        <f t="shared" si="6"/>
        <v>0.13314285714285715</v>
      </c>
      <c r="F46" s="73"/>
      <c r="G46" s="73"/>
      <c r="H46" s="73"/>
    </row>
    <row r="47" spans="1:9" x14ac:dyDescent="0.35">
      <c r="A47" s="68" t="s">
        <v>99</v>
      </c>
      <c r="B47" s="69">
        <f>IF($D47=1,-B46*D87,0)</f>
        <v>-46600</v>
      </c>
      <c r="C47" s="70">
        <f t="shared" si="6"/>
        <v>-3.3285714285714287E-2</v>
      </c>
      <c r="D47" s="26">
        <v>1</v>
      </c>
      <c r="E47" s="59" t="s">
        <v>51</v>
      </c>
      <c r="F47" s="74"/>
      <c r="G47" s="74"/>
      <c r="H47" s="74"/>
    </row>
    <row r="48" spans="1:9" ht="15" x14ac:dyDescent="0.35">
      <c r="A48" s="76" t="s">
        <v>52</v>
      </c>
      <c r="B48" s="77">
        <f>+B46+B47</f>
        <v>139800</v>
      </c>
      <c r="C48" s="78">
        <f t="shared" si="6"/>
        <v>9.9857142857142853E-2</v>
      </c>
      <c r="D48" s="79"/>
      <c r="E48" s="79"/>
      <c r="F48" s="79"/>
      <c r="G48" s="79"/>
      <c r="H48" s="79"/>
    </row>
    <row r="49" spans="1:9" ht="13.15" thickBot="1" x14ac:dyDescent="0.4"/>
    <row r="50" spans="1:9" ht="13.15" thickTop="1" x14ac:dyDescent="0.35">
      <c r="A50" s="303" t="s">
        <v>53</v>
      </c>
      <c r="B50" s="305" t="s">
        <v>54</v>
      </c>
      <c r="C50" s="307" t="s">
        <v>53</v>
      </c>
      <c r="D50" s="235"/>
      <c r="E50" s="235"/>
      <c r="F50" s="235"/>
      <c r="G50" s="235"/>
      <c r="H50" s="235"/>
      <c r="I50" s="31"/>
    </row>
    <row r="51" spans="1:9" ht="13.15" thickBot="1" x14ac:dyDescent="0.4">
      <c r="A51" s="304"/>
      <c r="B51" s="306"/>
      <c r="C51" s="308"/>
      <c r="D51" s="235"/>
      <c r="E51" s="235"/>
      <c r="F51" s="235"/>
      <c r="G51" s="235"/>
      <c r="H51" s="235"/>
    </row>
    <row r="52" spans="1:9" ht="13.15" thickTop="1" x14ac:dyDescent="0.35">
      <c r="A52" s="80" t="s">
        <v>55</v>
      </c>
      <c r="B52" s="82">
        <v>0</v>
      </c>
      <c r="C52" s="82">
        <f>+C8</f>
        <v>1300000</v>
      </c>
      <c r="D52" s="236"/>
      <c r="E52" s="236"/>
      <c r="F52" s="236"/>
      <c r="G52" s="236"/>
      <c r="H52" s="236"/>
    </row>
    <row r="53" spans="1:9" x14ac:dyDescent="0.35">
      <c r="A53" s="75" t="s">
        <v>56</v>
      </c>
      <c r="B53" s="84">
        <v>0</v>
      </c>
      <c r="C53" s="84">
        <f>+D8</f>
        <v>-865740</v>
      </c>
      <c r="D53" s="31"/>
      <c r="E53" s="31"/>
      <c r="F53" s="31"/>
      <c r="G53" s="31"/>
      <c r="H53" s="31"/>
    </row>
    <row r="54" spans="1:9" x14ac:dyDescent="0.35">
      <c r="A54" s="68" t="s">
        <v>57</v>
      </c>
      <c r="B54" s="84">
        <v>0</v>
      </c>
      <c r="C54" s="84">
        <f>+B41</f>
        <v>-350000</v>
      </c>
      <c r="D54" s="31"/>
      <c r="E54" s="31"/>
      <c r="F54" s="31"/>
      <c r="G54" s="31"/>
      <c r="H54" s="31"/>
    </row>
    <row r="55" spans="1:9" x14ac:dyDescent="0.35">
      <c r="A55" s="68" t="s">
        <v>58</v>
      </c>
      <c r="B55" s="84"/>
      <c r="C55" s="84">
        <f>+B45</f>
        <v>-5000</v>
      </c>
      <c r="D55" s="31"/>
      <c r="E55" s="31"/>
      <c r="F55" s="31"/>
      <c r="G55" s="31"/>
      <c r="H55" s="31"/>
    </row>
    <row r="56" spans="1:9" ht="13.15" thickBot="1" x14ac:dyDescent="0.4">
      <c r="A56" s="68" t="s">
        <v>100</v>
      </c>
      <c r="B56" s="84"/>
      <c r="C56" s="84">
        <f>+B47</f>
        <v>-46600</v>
      </c>
      <c r="D56" s="31"/>
      <c r="E56" s="31"/>
      <c r="F56" s="31"/>
      <c r="G56" s="31"/>
      <c r="H56" s="31"/>
    </row>
    <row r="57" spans="1:9" ht="13.9" thickTop="1" thickBot="1" x14ac:dyDescent="0.45">
      <c r="A57" s="86" t="s">
        <v>60</v>
      </c>
      <c r="B57" s="87">
        <f>SUM(B52:B56)</f>
        <v>0</v>
      </c>
      <c r="C57" s="87">
        <f>SUM(C52:C56)</f>
        <v>32660</v>
      </c>
      <c r="D57" s="237"/>
      <c r="E57" s="237"/>
      <c r="F57" s="237"/>
      <c r="G57" s="237"/>
      <c r="H57" s="237"/>
    </row>
    <row r="58" spans="1:9" ht="13.15" thickTop="1" x14ac:dyDescent="0.35">
      <c r="A58" s="75" t="s">
        <v>61</v>
      </c>
      <c r="B58" s="57">
        <f>-B5</f>
        <v>-200000</v>
      </c>
      <c r="C58" s="57"/>
      <c r="D58" s="31"/>
      <c r="E58" s="31"/>
      <c r="F58" s="31"/>
      <c r="G58" s="31"/>
      <c r="H58" s="31"/>
    </row>
    <row r="59" spans="1:9" ht="13.15" thickBot="1" x14ac:dyDescent="0.4">
      <c r="A59" s="75"/>
      <c r="B59" s="238"/>
      <c r="C59" s="84">
        <f>SUM(B59:B59)</f>
        <v>0</v>
      </c>
      <c r="D59" s="31"/>
      <c r="E59" s="31"/>
      <c r="F59" s="31"/>
      <c r="G59" s="31"/>
      <c r="H59" s="31"/>
    </row>
    <row r="60" spans="1:9" ht="13.9" thickTop="1" thickBot="1" x14ac:dyDescent="0.45">
      <c r="A60" s="86" t="s">
        <v>62</v>
      </c>
      <c r="B60" s="87">
        <f>+B57+B58</f>
        <v>-200000</v>
      </c>
      <c r="C60" s="87">
        <f>+C58</f>
        <v>0</v>
      </c>
      <c r="D60" s="237"/>
      <c r="E60" s="237"/>
      <c r="F60" s="237"/>
      <c r="G60" s="237"/>
      <c r="H60" s="237"/>
    </row>
    <row r="61" spans="1:9" ht="13.15" thickTop="1" x14ac:dyDescent="0.35">
      <c r="A61" s="68" t="s">
        <v>63</v>
      </c>
      <c r="B61" s="84">
        <f>+B13</f>
        <v>100000</v>
      </c>
      <c r="C61" s="84"/>
      <c r="D61" s="31"/>
      <c r="E61" s="31"/>
      <c r="F61" s="31"/>
      <c r="G61" s="31"/>
      <c r="H61" s="31"/>
    </row>
    <row r="62" spans="1:9" x14ac:dyDescent="0.35">
      <c r="A62" s="68" t="s">
        <v>64</v>
      </c>
      <c r="B62" s="84">
        <f>+B21</f>
        <v>150000</v>
      </c>
      <c r="C62" s="84"/>
      <c r="D62" s="31"/>
      <c r="E62" s="31"/>
      <c r="F62" s="31"/>
      <c r="G62" s="31"/>
      <c r="H62" s="31"/>
    </row>
    <row r="63" spans="1:9" ht="13.15" thickBot="1" x14ac:dyDescent="0.4">
      <c r="A63" s="68" t="s">
        <v>65</v>
      </c>
      <c r="B63" s="84" t="e">
        <f>+#REF!</f>
        <v>#REF!</v>
      </c>
      <c r="C63" s="84">
        <f>IF(B67+C57+C60+C61+C62&lt;0,-(B67+C57+C60+C61+C62),0)</f>
        <v>0</v>
      </c>
      <c r="D63" s="31"/>
      <c r="E63" s="31"/>
      <c r="F63" s="31"/>
      <c r="G63" s="31"/>
      <c r="H63" s="31"/>
    </row>
    <row r="64" spans="1:9" ht="13.9" thickTop="1" thickBot="1" x14ac:dyDescent="0.45">
      <c r="A64" s="239" t="s">
        <v>66</v>
      </c>
      <c r="B64" s="91">
        <f>+B62+B61</f>
        <v>250000</v>
      </c>
      <c r="C64" s="91">
        <f>+C62+C61</f>
        <v>0</v>
      </c>
      <c r="D64" s="240"/>
      <c r="E64" s="240"/>
      <c r="F64" s="240"/>
      <c r="G64" s="240"/>
      <c r="H64" s="240"/>
    </row>
    <row r="65" spans="1:11" ht="15.75" thickTop="1" thickBot="1" x14ac:dyDescent="0.4">
      <c r="A65" s="93" t="s">
        <v>67</v>
      </c>
      <c r="B65" s="241">
        <f>+B57+B60+B64</f>
        <v>50000</v>
      </c>
      <c r="C65" s="241">
        <f>+C57+C60+C64</f>
        <v>32660</v>
      </c>
      <c r="D65" s="242"/>
      <c r="E65" s="242"/>
      <c r="F65" s="242"/>
      <c r="G65" s="242"/>
      <c r="H65" s="242"/>
    </row>
    <row r="66" spans="1:11" ht="13.9" thickTop="1" thickBot="1" x14ac:dyDescent="0.4">
      <c r="A66" s="96" t="s">
        <v>68</v>
      </c>
      <c r="B66" s="84">
        <v>0</v>
      </c>
      <c r="C66" s="97">
        <f>+B67</f>
        <v>50000</v>
      </c>
      <c r="D66" s="231"/>
      <c r="E66" s="231"/>
      <c r="F66" s="231"/>
      <c r="G66" s="231"/>
      <c r="H66" s="231"/>
    </row>
    <row r="67" spans="1:11" ht="13.9" thickTop="1" thickBot="1" x14ac:dyDescent="0.4">
      <c r="A67" s="98" t="s">
        <v>69</v>
      </c>
      <c r="B67" s="99">
        <f>+B65+B66</f>
        <v>50000</v>
      </c>
      <c r="C67" s="99">
        <f>+C65+C66</f>
        <v>82660</v>
      </c>
      <c r="D67" s="243"/>
      <c r="E67" s="243"/>
      <c r="F67" s="243"/>
      <c r="G67" s="243"/>
      <c r="H67" s="243"/>
    </row>
    <row r="68" spans="1:11" ht="13.15" thickTop="1" x14ac:dyDescent="0.35"/>
    <row r="71" spans="1:11" ht="15" x14ac:dyDescent="0.4">
      <c r="A71" s="393" t="s">
        <v>74</v>
      </c>
      <c r="B71" s="393"/>
      <c r="C71" s="393"/>
      <c r="D71" s="393"/>
      <c r="E71" s="31"/>
      <c r="F71" s="31"/>
      <c r="G71" s="31"/>
      <c r="H71" s="31"/>
      <c r="I71" s="31"/>
    </row>
    <row r="72" spans="1:11" ht="13.15" x14ac:dyDescent="0.4">
      <c r="A72" s="184"/>
      <c r="B72" s="185" t="s">
        <v>75</v>
      </c>
      <c r="C72" s="186" t="s">
        <v>76</v>
      </c>
      <c r="D72" s="186" t="s">
        <v>77</v>
      </c>
    </row>
    <row r="73" spans="1:11" ht="13.15" x14ac:dyDescent="0.4">
      <c r="A73" s="187" t="s">
        <v>78</v>
      </c>
      <c r="B73" s="188"/>
      <c r="C73" s="189"/>
      <c r="D73" s="189"/>
      <c r="E73" s="31"/>
      <c r="F73" s="31"/>
      <c r="G73" s="190"/>
    </row>
    <row r="74" spans="1:11" ht="13.15" x14ac:dyDescent="0.4">
      <c r="A74" s="191"/>
      <c r="B74" s="192"/>
      <c r="C74" s="193"/>
      <c r="D74" s="193"/>
    </row>
    <row r="75" spans="1:11" x14ac:dyDescent="0.35">
      <c r="A75" s="194" t="s">
        <v>79</v>
      </c>
      <c r="B75" s="195">
        <f>+'[1]Complementos de mujer'!B30</f>
        <v>1400000</v>
      </c>
      <c r="C75" s="196">
        <v>1</v>
      </c>
      <c r="D75" s="195">
        <f>+B75*C75</f>
        <v>1400000</v>
      </c>
      <c r="E75" s="31"/>
    </row>
    <row r="76" spans="1:11" x14ac:dyDescent="0.35">
      <c r="A76" s="194" t="s">
        <v>80</v>
      </c>
      <c r="B76" s="197"/>
      <c r="C76" s="198"/>
      <c r="D76" s="197">
        <f>+C76*B76</f>
        <v>0</v>
      </c>
      <c r="F76" s="313"/>
      <c r="G76" s="315" t="s">
        <v>21</v>
      </c>
      <c r="H76" s="394" t="s">
        <v>22</v>
      </c>
      <c r="I76" s="394"/>
      <c r="J76" s="394"/>
      <c r="K76" s="394"/>
    </row>
    <row r="77" spans="1:11" x14ac:dyDescent="0.35">
      <c r="A77" s="199" t="s">
        <v>81</v>
      </c>
      <c r="B77" s="197">
        <f>+'[1]Complementos de mujer'!C31</f>
        <v>0.35</v>
      </c>
      <c r="C77" s="196">
        <v>1</v>
      </c>
      <c r="D77" s="197">
        <f>+B77*C77</f>
        <v>0.35</v>
      </c>
      <c r="F77" s="314"/>
      <c r="G77" s="316"/>
      <c r="H77" s="200" t="str">
        <f>+'[1]Complementos de mujer'!C29</f>
        <v>BOLSOS</v>
      </c>
      <c r="I77" s="200" t="str">
        <f>+'[1]Complementos de mujer'!D29</f>
        <v>ZAPATERIA</v>
      </c>
      <c r="J77" s="200" t="str">
        <f>+'[1]Complementos de mujer'!E29</f>
        <v>JOYERIA</v>
      </c>
      <c r="K77" s="200" t="s">
        <v>26</v>
      </c>
    </row>
    <row r="78" spans="1:11" ht="13.15" x14ac:dyDescent="0.4">
      <c r="A78" s="194" t="s">
        <v>82</v>
      </c>
      <c r="B78" s="197">
        <f>+'[1]Complementos de mujer'!D31</f>
        <v>0.45</v>
      </c>
      <c r="C78" s="196">
        <v>1</v>
      </c>
      <c r="D78" s="197">
        <f>+B78*C78</f>
        <v>0.45</v>
      </c>
      <c r="F78" s="36" t="s">
        <v>27</v>
      </c>
      <c r="G78" s="38">
        <f>+D75</f>
        <v>1400000</v>
      </c>
      <c r="H78" s="38">
        <f>+$G$78*H79</f>
        <v>489999.99999999994</v>
      </c>
      <c r="I78" s="38">
        <f>+$G$78*I79</f>
        <v>630000</v>
      </c>
      <c r="J78" s="38">
        <f>+$G$78*J79</f>
        <v>70000</v>
      </c>
      <c r="K78" s="39">
        <f>+$G$78*K79</f>
        <v>210000.00000000003</v>
      </c>
    </row>
    <row r="79" spans="1:11" x14ac:dyDescent="0.35">
      <c r="A79" s="194" t="s">
        <v>83</v>
      </c>
      <c r="B79" s="197">
        <f>+'[1]Complementos de mujer'!E31</f>
        <v>0.05</v>
      </c>
      <c r="C79" s="196">
        <v>1</v>
      </c>
      <c r="D79" s="197">
        <f>+B79*C79</f>
        <v>0.05</v>
      </c>
      <c r="F79" s="40" t="s">
        <v>28</v>
      </c>
      <c r="G79" s="41">
        <f>SUM(H79:K79)</f>
        <v>1</v>
      </c>
      <c r="H79" s="201">
        <f>+D77</f>
        <v>0.35</v>
      </c>
      <c r="I79" s="201">
        <f>+D78</f>
        <v>0.45</v>
      </c>
      <c r="J79" s="201">
        <f>+D79</f>
        <v>0.05</v>
      </c>
      <c r="K79" s="201">
        <f>1-H79-I79-J79</f>
        <v>0.15000000000000002</v>
      </c>
    </row>
    <row r="80" spans="1:11" x14ac:dyDescent="0.35">
      <c r="A80" s="194" t="s">
        <v>84</v>
      </c>
      <c r="B80" s="197">
        <f>+'[1]Complementos de mujer'!F31</f>
        <v>0.15000000000000002</v>
      </c>
      <c r="C80" s="198"/>
      <c r="D80" s="197">
        <f>1-D79-D78-D77</f>
        <v>0.14999999999999997</v>
      </c>
      <c r="F80" s="44" t="s">
        <v>29</v>
      </c>
      <c r="G80" s="202">
        <f>-SUM(H80:K80)</f>
        <v>-838600</v>
      </c>
      <c r="H80" s="46">
        <f>+H78*(1-H82)</f>
        <v>284200</v>
      </c>
      <c r="I80" s="46">
        <f>+I78*(1-I82)</f>
        <v>384300</v>
      </c>
      <c r="J80" s="46">
        <f>+J78*(1-J82)</f>
        <v>23099.999999999996</v>
      </c>
      <c r="K80" s="46">
        <f>+K78*(1-K82)</f>
        <v>147000</v>
      </c>
    </row>
    <row r="81" spans="1:11" ht="13.15" x14ac:dyDescent="0.4">
      <c r="A81" s="203" t="s">
        <v>85</v>
      </c>
      <c r="B81" s="204">
        <f>+'[1]Complementos de mujer'!B34</f>
        <v>0.40100000000000002</v>
      </c>
      <c r="C81" s="205">
        <f>+D81/B81</f>
        <v>1</v>
      </c>
      <c r="D81" s="204">
        <f>+G82</f>
        <v>0.40100000000000002</v>
      </c>
      <c r="E81" s="31"/>
      <c r="F81" s="47" t="s">
        <v>30</v>
      </c>
      <c r="G81" s="48">
        <f>SUM(H81:K81)</f>
        <v>561400</v>
      </c>
      <c r="H81" s="49">
        <f>+H78-H80</f>
        <v>205799.99999999994</v>
      </c>
      <c r="I81" s="49">
        <f>+I78-I80</f>
        <v>245700</v>
      </c>
      <c r="J81" s="49">
        <f>+J78-J80</f>
        <v>46900</v>
      </c>
      <c r="K81" s="49">
        <f>+K78-K80</f>
        <v>63000.000000000029</v>
      </c>
    </row>
    <row r="82" spans="1:11" ht="13.15" x14ac:dyDescent="0.4">
      <c r="A82" s="194"/>
      <c r="B82" s="197"/>
      <c r="C82" s="198"/>
      <c r="D82" s="197"/>
      <c r="F82" s="50" t="s">
        <v>31</v>
      </c>
      <c r="G82" s="51">
        <f>+G81/G78</f>
        <v>0.40100000000000002</v>
      </c>
      <c r="H82" s="52">
        <f>+'[1]Complementos de mujer'!C34</f>
        <v>0.42</v>
      </c>
      <c r="I82" s="52">
        <f>+'[1]Complementos de mujer'!D34</f>
        <v>0.39</v>
      </c>
      <c r="J82" s="52">
        <f>+'[1]Complementos de mujer'!E34</f>
        <v>0.67</v>
      </c>
      <c r="K82" s="53">
        <f>+'[1]Complementos de mujer'!F34</f>
        <v>0.3</v>
      </c>
    </row>
    <row r="83" spans="1:11" ht="13.15" x14ac:dyDescent="0.4">
      <c r="A83" s="187" t="s">
        <v>86</v>
      </c>
      <c r="B83" s="206"/>
      <c r="C83" s="207"/>
      <c r="D83" s="206"/>
      <c r="F83" s="208"/>
      <c r="G83" s="209"/>
      <c r="H83" s="210"/>
      <c r="I83" s="210"/>
      <c r="J83" s="210"/>
      <c r="K83" s="211"/>
    </row>
    <row r="84" spans="1:11" ht="13.15" x14ac:dyDescent="0.4">
      <c r="A84" s="191"/>
      <c r="B84" s="197"/>
      <c r="C84" s="198"/>
      <c r="D84" s="197"/>
      <c r="F84" s="208"/>
      <c r="G84" s="209"/>
      <c r="H84" s="210"/>
      <c r="I84" s="210"/>
      <c r="J84" s="210"/>
      <c r="K84" s="211"/>
    </row>
    <row r="85" spans="1:11" x14ac:dyDescent="0.35">
      <c r="A85" s="194" t="s">
        <v>87</v>
      </c>
      <c r="B85" s="195">
        <f>-'[1]Complementos de mujer'!B42</f>
        <v>350000</v>
      </c>
      <c r="C85" s="196">
        <v>1</v>
      </c>
      <c r="D85" s="195">
        <f>+B85*C85</f>
        <v>350000</v>
      </c>
      <c r="E85" s="31"/>
      <c r="F85" s="31"/>
      <c r="G85" s="190"/>
    </row>
    <row r="86" spans="1:11" x14ac:dyDescent="0.35">
      <c r="A86" s="194" t="s">
        <v>88</v>
      </c>
      <c r="B86" s="197">
        <v>0.05</v>
      </c>
      <c r="C86" s="196">
        <v>1</v>
      </c>
      <c r="D86" s="197">
        <f>+B86*C86</f>
        <v>0.05</v>
      </c>
      <c r="E86" s="31"/>
      <c r="F86" s="190"/>
    </row>
    <row r="87" spans="1:11" x14ac:dyDescent="0.35">
      <c r="A87" s="194" t="s">
        <v>89</v>
      </c>
      <c r="B87" s="197">
        <v>0.25</v>
      </c>
      <c r="C87" s="196">
        <v>1</v>
      </c>
      <c r="D87" s="197">
        <f>+B87*C87</f>
        <v>0.25</v>
      </c>
      <c r="E87" s="31"/>
      <c r="F87" s="190"/>
    </row>
    <row r="88" spans="1:11" x14ac:dyDescent="0.35">
      <c r="A88" s="194"/>
      <c r="B88" s="197"/>
      <c r="C88" s="198"/>
      <c r="D88" s="197"/>
      <c r="F88" s="190"/>
    </row>
    <row r="89" spans="1:11" ht="13.15" x14ac:dyDescent="0.4">
      <c r="A89" s="187" t="s">
        <v>90</v>
      </c>
      <c r="B89" s="206"/>
      <c r="C89" s="207"/>
      <c r="D89" s="206"/>
      <c r="F89" s="190"/>
    </row>
    <row r="90" spans="1:11" ht="13.15" x14ac:dyDescent="0.4">
      <c r="A90" s="212"/>
      <c r="B90" s="213"/>
      <c r="C90" s="214"/>
      <c r="D90" s="213"/>
      <c r="F90" s="190"/>
    </row>
    <row r="91" spans="1:11" x14ac:dyDescent="0.35">
      <c r="A91" s="194" t="s">
        <v>91</v>
      </c>
      <c r="B91" s="195">
        <v>15</v>
      </c>
      <c r="C91" s="196">
        <v>1</v>
      </c>
      <c r="D91" s="215">
        <f>+B91*C91</f>
        <v>15</v>
      </c>
      <c r="E91" s="31"/>
      <c r="F91" s="31"/>
      <c r="G91" s="190"/>
    </row>
    <row r="92" spans="1:11" x14ac:dyDescent="0.35">
      <c r="A92" s="194" t="s">
        <v>92</v>
      </c>
      <c r="B92" s="195">
        <v>15</v>
      </c>
      <c r="C92" s="196">
        <v>1</v>
      </c>
      <c r="D92" s="215">
        <f>+B92*C92</f>
        <v>15</v>
      </c>
      <c r="E92" s="31"/>
      <c r="F92" s="31"/>
      <c r="G92" s="190"/>
    </row>
    <row r="93" spans="1:11" x14ac:dyDescent="0.35">
      <c r="A93" s="194" t="s">
        <v>93</v>
      </c>
      <c r="B93" s="195">
        <v>30</v>
      </c>
      <c r="C93" s="196">
        <v>1</v>
      </c>
      <c r="D93" s="195">
        <f>+C93*B93</f>
        <v>30</v>
      </c>
      <c r="E93" s="31"/>
      <c r="F93" s="31"/>
      <c r="G93" s="190"/>
    </row>
    <row r="94" spans="1:11" x14ac:dyDescent="0.35">
      <c r="B94" s="31"/>
      <c r="F94" s="190"/>
    </row>
    <row r="95" spans="1:11" x14ac:dyDescent="0.35">
      <c r="A95" s="194" t="s">
        <v>94</v>
      </c>
      <c r="B95" s="31"/>
      <c r="D95" s="195">
        <f>-(+B39+(B39/360)*D93)</f>
        <v>908483.33333333337</v>
      </c>
      <c r="F95" s="190"/>
    </row>
    <row r="96" spans="1:11" x14ac:dyDescent="0.35">
      <c r="F96" s="190"/>
    </row>
    <row r="97" spans="1:6" ht="13.15" x14ac:dyDescent="0.4">
      <c r="A97" s="187" t="s">
        <v>95</v>
      </c>
      <c r="B97" s="206"/>
      <c r="C97" s="207"/>
      <c r="D97" s="206"/>
      <c r="F97" s="190"/>
    </row>
    <row r="98" spans="1:6" ht="13.15" x14ac:dyDescent="0.4">
      <c r="A98" s="212"/>
      <c r="B98" s="213"/>
      <c r="C98" s="214"/>
      <c r="D98" s="213"/>
      <c r="F98" s="190"/>
    </row>
    <row r="99" spans="1:6" x14ac:dyDescent="0.35">
      <c r="A99" s="194" t="s">
        <v>96</v>
      </c>
      <c r="B99" s="195">
        <f>+'[1]Complementos de mujer'!B5</f>
        <v>200000</v>
      </c>
      <c r="C99" s="196">
        <v>1</v>
      </c>
      <c r="D99" s="195">
        <f>+B99*C99</f>
        <v>200000</v>
      </c>
      <c r="E99" s="31"/>
      <c r="F99" s="190"/>
    </row>
    <row r="100" spans="1:6" x14ac:dyDescent="0.35">
      <c r="A100" s="194" t="s">
        <v>97</v>
      </c>
      <c r="B100" s="195">
        <f>+'[1]Complementos de mujer'!B13</f>
        <v>100000</v>
      </c>
      <c r="C100" s="196">
        <v>1</v>
      </c>
      <c r="D100" s="195">
        <f>+B100*C100</f>
        <v>100000</v>
      </c>
      <c r="E100" s="31"/>
      <c r="F100" s="190"/>
    </row>
    <row r="101" spans="1:6" x14ac:dyDescent="0.35">
      <c r="A101" s="194" t="s">
        <v>98</v>
      </c>
      <c r="B101" s="195">
        <f>+'[1]Complementos de mujer'!B22</f>
        <v>150000</v>
      </c>
      <c r="C101" s="196">
        <v>1</v>
      </c>
      <c r="D101" s="195">
        <f>+B101*C101</f>
        <v>150000</v>
      </c>
      <c r="E101" s="31"/>
      <c r="F101" s="190"/>
    </row>
    <row r="102" spans="1:6" x14ac:dyDescent="0.35">
      <c r="F102" s="190"/>
    </row>
    <row r="103" spans="1:6" x14ac:dyDescent="0.35">
      <c r="F103" s="190"/>
    </row>
  </sheetData>
  <mergeCells count="39">
    <mergeCell ref="A1:I1"/>
    <mergeCell ref="A71:D71"/>
    <mergeCell ref="F76:F77"/>
    <mergeCell ref="G76:G77"/>
    <mergeCell ref="H76:K76"/>
    <mergeCell ref="H19:H20"/>
    <mergeCell ref="I19:I20"/>
    <mergeCell ref="A35:A36"/>
    <mergeCell ref="B35:B36"/>
    <mergeCell ref="C35:C36"/>
    <mergeCell ref="A50:A51"/>
    <mergeCell ref="B50:B51"/>
    <mergeCell ref="C50:C51"/>
    <mergeCell ref="G11:G12"/>
    <mergeCell ref="H11:H12"/>
    <mergeCell ref="I11:I12"/>
    <mergeCell ref="F19:F20"/>
    <mergeCell ref="G19:G20"/>
    <mergeCell ref="A11:A12"/>
    <mergeCell ref="B11:B12"/>
    <mergeCell ref="C11:C12"/>
    <mergeCell ref="D11:D12"/>
    <mergeCell ref="E11:E12"/>
    <mergeCell ref="F11:F12"/>
    <mergeCell ref="A19:A20"/>
    <mergeCell ref="B19:B20"/>
    <mergeCell ref="C19:C20"/>
    <mergeCell ref="D19:D20"/>
    <mergeCell ref="E19:E20"/>
    <mergeCell ref="A2:I2"/>
    <mergeCell ref="A3:A4"/>
    <mergeCell ref="B3:B4"/>
    <mergeCell ref="C3:C4"/>
    <mergeCell ref="D3:D4"/>
    <mergeCell ref="E3:E4"/>
    <mergeCell ref="F3:F4"/>
    <mergeCell ref="G3:G4"/>
    <mergeCell ref="H3:H4"/>
    <mergeCell ref="I3:I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A5EAE0-3801-404A-95FB-3DFF69BE15F9}">
  <dimension ref="A1:K124"/>
  <sheetViews>
    <sheetView workbookViewId="0">
      <selection activeCell="K6" sqref="K6"/>
    </sheetView>
  </sheetViews>
  <sheetFormatPr baseColWidth="10" defaultRowHeight="12.75" x14ac:dyDescent="0.35"/>
  <cols>
    <col min="1" max="3" width="16.19921875" customWidth="1"/>
  </cols>
  <sheetData>
    <row r="1" spans="1:9" ht="151.9" customHeight="1" thickBot="1" x14ac:dyDescent="0.4">
      <c r="A1" s="395" t="s">
        <v>125</v>
      </c>
      <c r="B1" s="396"/>
      <c r="C1" s="396"/>
      <c r="D1" s="396"/>
      <c r="E1" s="396"/>
      <c r="F1" s="396"/>
      <c r="G1" s="396"/>
      <c r="H1" s="396"/>
      <c r="I1" s="396"/>
    </row>
    <row r="2" spans="1:9" ht="18" thickTop="1" thickBot="1" x14ac:dyDescent="0.5">
      <c r="A2" s="336" t="s">
        <v>0</v>
      </c>
      <c r="B2" s="337"/>
      <c r="C2" s="337"/>
      <c r="D2" s="337"/>
      <c r="E2" s="337"/>
      <c r="F2" s="337"/>
      <c r="G2" s="337"/>
      <c r="H2" s="337"/>
      <c r="I2" s="338"/>
    </row>
    <row r="3" spans="1:9" ht="13.15" thickTop="1" x14ac:dyDescent="0.35">
      <c r="A3" s="339" t="s">
        <v>1</v>
      </c>
      <c r="B3" s="341" t="s">
        <v>2</v>
      </c>
      <c r="C3" s="343">
        <v>1</v>
      </c>
      <c r="D3" s="343">
        <f>+C3+1</f>
        <v>2</v>
      </c>
      <c r="E3" s="343">
        <f>+D3+1</f>
        <v>3</v>
      </c>
      <c r="F3" s="343">
        <f>+E3+1</f>
        <v>4</v>
      </c>
      <c r="G3" s="343">
        <f>+F3+1</f>
        <v>5</v>
      </c>
      <c r="H3" s="343">
        <f>+G3+1</f>
        <v>6</v>
      </c>
      <c r="I3" s="345" t="s">
        <v>3</v>
      </c>
    </row>
    <row r="4" spans="1:9" ht="13.15" thickBot="1" x14ac:dyDescent="0.4">
      <c r="A4" s="340"/>
      <c r="B4" s="342"/>
      <c r="C4" s="344"/>
      <c r="D4" s="344"/>
      <c r="E4" s="344"/>
      <c r="F4" s="344"/>
      <c r="G4" s="344"/>
      <c r="H4" s="344"/>
      <c r="I4" s="346"/>
    </row>
    <row r="5" spans="1:9" ht="13.15" thickTop="1" x14ac:dyDescent="0.35">
      <c r="A5" s="2" t="str">
        <f>+'[2]Complementos de mujer'!A5</f>
        <v>Canon</v>
      </c>
      <c r="B5" s="57">
        <f>IF(B$24=0,0,D99)</f>
        <v>200000</v>
      </c>
      <c r="C5" s="216"/>
      <c r="D5" s="217"/>
      <c r="E5" s="217"/>
      <c r="F5" s="218">
        <f>IF($D$43=1,B43,0)</f>
        <v>-20000</v>
      </c>
      <c r="G5" s="217"/>
      <c r="H5" s="219"/>
      <c r="I5" s="57">
        <f>SUM(B5:H5)</f>
        <v>180000</v>
      </c>
    </row>
    <row r="6" spans="1:9" x14ac:dyDescent="0.35">
      <c r="A6" s="2" t="s">
        <v>5</v>
      </c>
      <c r="B6" s="84">
        <v>0</v>
      </c>
      <c r="C6" s="216"/>
      <c r="D6" s="218">
        <v>59215</v>
      </c>
      <c r="E6" s="218"/>
      <c r="F6" s="218"/>
      <c r="G6" s="218"/>
      <c r="H6" s="220"/>
      <c r="I6" s="84">
        <f>SUM(B6:H6)</f>
        <v>59215</v>
      </c>
    </row>
    <row r="7" spans="1:9" x14ac:dyDescent="0.35">
      <c r="A7" s="2" t="s">
        <v>6</v>
      </c>
      <c r="B7" s="84">
        <v>0</v>
      </c>
      <c r="C7" s="216">
        <v>100000</v>
      </c>
      <c r="D7" s="218"/>
      <c r="E7" s="218"/>
      <c r="F7" s="218"/>
      <c r="G7" s="218"/>
      <c r="H7" s="220"/>
      <c r="I7" s="84">
        <f>SUM(B7:H7)</f>
        <v>100000</v>
      </c>
    </row>
    <row r="8" spans="1:9" ht="13.15" thickBot="1" x14ac:dyDescent="0.4">
      <c r="A8" s="2" t="s">
        <v>7</v>
      </c>
      <c r="B8" s="84">
        <f>IF(B$24=0,0,B21+B13-B5)</f>
        <v>50000</v>
      </c>
      <c r="C8" s="216">
        <f>IF($D$37=1,B38-C7,0)</f>
        <v>1300000</v>
      </c>
      <c r="D8" s="218">
        <v>-865740</v>
      </c>
      <c r="E8" s="285">
        <f>IF($D$41=1,C54,0)</f>
        <v>-332500</v>
      </c>
      <c r="G8" s="218">
        <f>IF($D$45=1,C55,0)</f>
        <v>-5000</v>
      </c>
      <c r="H8" s="220">
        <f>IF($D$47=1,C56,0)</f>
        <v>-50975</v>
      </c>
      <c r="I8" s="84">
        <f>SUM(B8:H8)</f>
        <v>95785</v>
      </c>
    </row>
    <row r="9" spans="1:9" ht="15.75" thickTop="1" thickBot="1" x14ac:dyDescent="0.4">
      <c r="A9" s="8" t="s">
        <v>8</v>
      </c>
      <c r="B9" s="9">
        <f t="shared" ref="B9:I9" si="0">SUM(B5:B8)</f>
        <v>250000</v>
      </c>
      <c r="C9" s="221">
        <f t="shared" si="0"/>
        <v>1400000</v>
      </c>
      <c r="D9" s="10">
        <f t="shared" si="0"/>
        <v>-806525</v>
      </c>
      <c r="E9" s="10">
        <f t="shared" si="0"/>
        <v>-332500</v>
      </c>
      <c r="F9" s="10">
        <f t="shared" si="0"/>
        <v>-20000</v>
      </c>
      <c r="G9" s="10">
        <f t="shared" si="0"/>
        <v>-5000</v>
      </c>
      <c r="H9" s="10">
        <f t="shared" si="0"/>
        <v>-50975</v>
      </c>
      <c r="I9" s="9">
        <f t="shared" si="0"/>
        <v>435000</v>
      </c>
    </row>
    <row r="10" spans="1:9" ht="15.75" thickTop="1" thickBot="1" x14ac:dyDescent="0.4">
      <c r="A10" s="11"/>
      <c r="B10" s="12"/>
      <c r="C10" s="12"/>
      <c r="D10" s="12"/>
      <c r="E10" s="12"/>
      <c r="F10" s="12"/>
      <c r="G10" s="12"/>
      <c r="H10" s="12"/>
      <c r="I10" s="222"/>
    </row>
    <row r="11" spans="1:9" ht="13.15" thickTop="1" x14ac:dyDescent="0.35">
      <c r="A11" s="332" t="s">
        <v>9</v>
      </c>
      <c r="B11" s="326" t="str">
        <f t="shared" ref="B11:I11" si="1">+B3</f>
        <v>BALANCE INICIAL</v>
      </c>
      <c r="C11" s="334">
        <f t="shared" si="1"/>
        <v>1</v>
      </c>
      <c r="D11" s="324">
        <f t="shared" si="1"/>
        <v>2</v>
      </c>
      <c r="E11" s="324">
        <f t="shared" si="1"/>
        <v>3</v>
      </c>
      <c r="F11" s="324">
        <f t="shared" si="1"/>
        <v>4</v>
      </c>
      <c r="G11" s="324">
        <f t="shared" si="1"/>
        <v>5</v>
      </c>
      <c r="H11" s="387">
        <f t="shared" si="1"/>
        <v>6</v>
      </c>
      <c r="I11" s="326" t="str">
        <f t="shared" si="1"/>
        <v>BALANCE FINAL</v>
      </c>
    </row>
    <row r="12" spans="1:9" ht="13.15" thickBot="1" x14ac:dyDescent="0.4">
      <c r="A12" s="333"/>
      <c r="B12" s="327"/>
      <c r="C12" s="335"/>
      <c r="D12" s="325"/>
      <c r="E12" s="325"/>
      <c r="F12" s="325"/>
      <c r="G12" s="325"/>
      <c r="H12" s="388"/>
      <c r="I12" s="327"/>
    </row>
    <row r="13" spans="1:9" ht="13.15" thickTop="1" x14ac:dyDescent="0.35">
      <c r="A13" s="14" t="s">
        <v>10</v>
      </c>
      <c r="B13" s="57">
        <f>IF(B$24=0,0,D100)</f>
        <v>100000</v>
      </c>
      <c r="C13" s="223"/>
      <c r="D13" s="217"/>
      <c r="E13" s="217"/>
      <c r="F13" s="217"/>
      <c r="G13" s="217"/>
      <c r="H13" s="219"/>
      <c r="I13" s="84">
        <f>SUM(B13:H13)</f>
        <v>100000</v>
      </c>
    </row>
    <row r="14" spans="1:9" x14ac:dyDescent="0.35">
      <c r="A14" s="2" t="s">
        <v>11</v>
      </c>
      <c r="B14" s="84"/>
      <c r="C14" s="216"/>
      <c r="D14" s="218">
        <v>32075</v>
      </c>
      <c r="E14" s="218"/>
      <c r="F14" s="218"/>
      <c r="G14" s="218"/>
      <c r="H14" s="220"/>
      <c r="I14" s="84">
        <f>SUM(B14:H14)</f>
        <v>32075</v>
      </c>
    </row>
    <row r="15" spans="1:9" x14ac:dyDescent="0.35">
      <c r="A15" s="2" t="s">
        <v>12</v>
      </c>
      <c r="B15" s="84"/>
      <c r="C15" s="216"/>
      <c r="D15" s="218"/>
      <c r="E15" s="218"/>
      <c r="F15" s="218"/>
      <c r="G15" s="218"/>
      <c r="H15" s="220"/>
      <c r="I15" s="84">
        <f>SUM(B15:H15)</f>
        <v>0</v>
      </c>
    </row>
    <row r="16" spans="1:9" ht="13.15" thickBot="1" x14ac:dyDescent="0.4">
      <c r="A16" s="2" t="s">
        <v>13</v>
      </c>
      <c r="B16" s="84"/>
      <c r="C16" s="216"/>
      <c r="D16" s="218"/>
      <c r="E16" s="218"/>
      <c r="F16" s="218"/>
      <c r="G16" s="218"/>
      <c r="H16" s="220"/>
      <c r="I16" s="84">
        <f>SUM(B16:H16)</f>
        <v>0</v>
      </c>
    </row>
    <row r="17" spans="1:11" ht="13.9" thickTop="1" thickBot="1" x14ac:dyDescent="0.45">
      <c r="A17" s="17" t="s">
        <v>15</v>
      </c>
      <c r="B17" s="18">
        <f t="shared" ref="B17:I17" si="2">SUM(B13:B16)</f>
        <v>100000</v>
      </c>
      <c r="C17" s="224">
        <f t="shared" si="2"/>
        <v>0</v>
      </c>
      <c r="D17" s="18">
        <f t="shared" si="2"/>
        <v>32075</v>
      </c>
      <c r="E17" s="18">
        <f t="shared" si="2"/>
        <v>0</v>
      </c>
      <c r="F17" s="18">
        <f t="shared" si="2"/>
        <v>0</v>
      </c>
      <c r="G17" s="18">
        <f t="shared" si="2"/>
        <v>0</v>
      </c>
      <c r="H17" s="225">
        <f t="shared" si="2"/>
        <v>0</v>
      </c>
      <c r="I17" s="18">
        <f t="shared" si="2"/>
        <v>132075</v>
      </c>
      <c r="K17" s="31"/>
    </row>
    <row r="18" spans="1:11" ht="13.9" thickTop="1" thickBot="1" x14ac:dyDescent="0.45">
      <c r="A18" s="19"/>
      <c r="B18" s="12"/>
      <c r="C18" s="226"/>
      <c r="D18" s="226"/>
      <c r="E18" s="226"/>
      <c r="F18" s="226"/>
      <c r="G18" s="226"/>
      <c r="H18" s="226"/>
      <c r="I18" s="222"/>
    </row>
    <row r="19" spans="1:11" ht="13.15" thickTop="1" x14ac:dyDescent="0.35">
      <c r="A19" s="328" t="s">
        <v>16</v>
      </c>
      <c r="B19" s="311" t="s">
        <v>2</v>
      </c>
      <c r="C19" s="330">
        <f t="shared" ref="C19:H19" si="3">+C11</f>
        <v>1</v>
      </c>
      <c r="D19" s="309">
        <f t="shared" si="3"/>
        <v>2</v>
      </c>
      <c r="E19" s="309">
        <f t="shared" si="3"/>
        <v>3</v>
      </c>
      <c r="F19" s="309">
        <f t="shared" si="3"/>
        <v>4</v>
      </c>
      <c r="G19" s="309">
        <f t="shared" si="3"/>
        <v>5</v>
      </c>
      <c r="H19" s="391">
        <f t="shared" si="3"/>
        <v>6</v>
      </c>
      <c r="I19" s="311" t="s">
        <v>3</v>
      </c>
    </row>
    <row r="20" spans="1:11" ht="13.15" thickBot="1" x14ac:dyDescent="0.4">
      <c r="A20" s="329"/>
      <c r="B20" s="312"/>
      <c r="C20" s="331"/>
      <c r="D20" s="310"/>
      <c r="E20" s="310"/>
      <c r="F20" s="310"/>
      <c r="G20" s="310"/>
      <c r="H20" s="392"/>
      <c r="I20" s="312"/>
    </row>
    <row r="21" spans="1:11" ht="13.15" thickTop="1" x14ac:dyDescent="0.35">
      <c r="A21" s="14" t="s">
        <v>17</v>
      </c>
      <c r="B21" s="57">
        <f>IF(B$24=0,0,D101)</f>
        <v>150000</v>
      </c>
      <c r="C21" s="223"/>
      <c r="D21" s="217"/>
      <c r="E21" s="217"/>
      <c r="F21" s="217"/>
      <c r="G21" s="217"/>
      <c r="H21" s="219"/>
      <c r="I21" s="57">
        <f>SUM(B21:H21)</f>
        <v>150000</v>
      </c>
    </row>
    <row r="22" spans="1:11" ht="13.15" thickBot="1" x14ac:dyDescent="0.4">
      <c r="A22" s="22" t="s">
        <v>18</v>
      </c>
      <c r="B22" s="84"/>
      <c r="C22" s="216">
        <f>IF($D$37=1,B37,0)</f>
        <v>1400000</v>
      </c>
      <c r="D22" s="227">
        <f>IF($D$39=1,B39,0)</f>
        <v>-838600</v>
      </c>
      <c r="E22" s="218">
        <f>IF($D$41=1,B41,0)</f>
        <v>-332500</v>
      </c>
      <c r="F22" s="218">
        <f>IF($D$43=1,B43,0)</f>
        <v>-20000</v>
      </c>
      <c r="G22" s="218">
        <f>IF($D$45=1,B45,0)</f>
        <v>-5000</v>
      </c>
      <c r="H22" s="220">
        <f>IF($D$47=1,B47,0)</f>
        <v>-50975</v>
      </c>
      <c r="I22" s="84">
        <f>SUM(B22:H22)</f>
        <v>152925</v>
      </c>
    </row>
    <row r="23" spans="1:11" ht="15.75" thickTop="1" thickBot="1" x14ac:dyDescent="0.4">
      <c r="A23" s="23" t="s">
        <v>19</v>
      </c>
      <c r="B23" s="24">
        <f t="shared" ref="B23:I23" si="4">SUM(B21:B22)</f>
        <v>150000</v>
      </c>
      <c r="C23" s="228">
        <f t="shared" si="4"/>
        <v>1400000</v>
      </c>
      <c r="D23" s="24">
        <f t="shared" si="4"/>
        <v>-838600</v>
      </c>
      <c r="E23" s="24">
        <f t="shared" si="4"/>
        <v>-332500</v>
      </c>
      <c r="F23" s="24">
        <f t="shared" si="4"/>
        <v>-20000</v>
      </c>
      <c r="G23" s="24">
        <f t="shared" si="4"/>
        <v>-5000</v>
      </c>
      <c r="H23" s="229">
        <f t="shared" si="4"/>
        <v>-50975</v>
      </c>
      <c r="I23" s="24">
        <f t="shared" si="4"/>
        <v>302925</v>
      </c>
    </row>
    <row r="24" spans="1:11" ht="15.4" thickTop="1" x14ac:dyDescent="0.35">
      <c r="A24" s="230"/>
      <c r="B24" s="26">
        <v>1</v>
      </c>
      <c r="C24" s="231"/>
      <c r="D24" s="231"/>
      <c r="E24" s="231"/>
      <c r="F24" s="231"/>
      <c r="G24" s="231"/>
      <c r="H24" s="231"/>
      <c r="I24" s="231"/>
    </row>
    <row r="25" spans="1:11" x14ac:dyDescent="0.35">
      <c r="A25" s="232" t="s">
        <v>20</v>
      </c>
      <c r="B25" s="29">
        <f t="shared" ref="B25:I25" si="5">+B9-B17-B23</f>
        <v>0</v>
      </c>
      <c r="C25" s="29">
        <f t="shared" si="5"/>
        <v>0</v>
      </c>
      <c r="D25" s="29">
        <f t="shared" si="5"/>
        <v>0</v>
      </c>
      <c r="E25" s="29">
        <f t="shared" si="5"/>
        <v>0</v>
      </c>
      <c r="F25" s="29">
        <f t="shared" si="5"/>
        <v>0</v>
      </c>
      <c r="G25" s="29">
        <f t="shared" si="5"/>
        <v>0</v>
      </c>
      <c r="H25" s="29">
        <f t="shared" si="5"/>
        <v>0</v>
      </c>
      <c r="I25" s="29">
        <f t="shared" si="5"/>
        <v>0</v>
      </c>
    </row>
    <row r="26" spans="1:11" x14ac:dyDescent="0.35">
      <c r="B26" s="31">
        <f>+B9-B17-B23</f>
        <v>0</v>
      </c>
      <c r="C26" s="31"/>
      <c r="D26" s="31"/>
      <c r="E26" s="31"/>
      <c r="F26" s="31"/>
      <c r="G26" s="233"/>
      <c r="H26" s="234"/>
      <c r="I26" s="234"/>
    </row>
    <row r="27" spans="1:11" x14ac:dyDescent="0.35">
      <c r="G27" s="233"/>
      <c r="H27" s="234"/>
      <c r="I27" s="234"/>
    </row>
    <row r="28" spans="1:11" x14ac:dyDescent="0.35">
      <c r="G28" s="233"/>
      <c r="H28" s="234"/>
      <c r="I28" s="234"/>
    </row>
    <row r="29" spans="1:11" x14ac:dyDescent="0.35">
      <c r="G29" s="233"/>
      <c r="H29" s="234"/>
      <c r="I29" s="234"/>
    </row>
    <row r="30" spans="1:11" x14ac:dyDescent="0.35">
      <c r="G30" s="233"/>
      <c r="H30" s="234"/>
      <c r="I30" s="234"/>
    </row>
    <row r="31" spans="1:11" x14ac:dyDescent="0.35">
      <c r="G31" s="233"/>
      <c r="H31" s="234"/>
      <c r="I31" s="234"/>
    </row>
    <row r="32" spans="1:11" x14ac:dyDescent="0.35">
      <c r="G32" s="233"/>
      <c r="H32" s="234"/>
      <c r="I32" s="234"/>
    </row>
    <row r="33" spans="1:9" x14ac:dyDescent="0.35">
      <c r="G33" s="233"/>
      <c r="H33" s="234"/>
      <c r="I33" s="234"/>
    </row>
    <row r="34" spans="1:9" ht="13.15" thickBot="1" x14ac:dyDescent="0.4">
      <c r="B34" s="31"/>
      <c r="C34" s="31"/>
      <c r="D34" s="31"/>
      <c r="E34" s="31"/>
      <c r="F34" s="31"/>
      <c r="G34" s="233"/>
      <c r="H34" s="234"/>
      <c r="I34" s="234"/>
    </row>
    <row r="35" spans="1:9" ht="13.15" thickTop="1" x14ac:dyDescent="0.35">
      <c r="A35" s="318" t="s">
        <v>32</v>
      </c>
      <c r="B35" s="320" t="s">
        <v>33</v>
      </c>
      <c r="C35" s="322" t="s">
        <v>34</v>
      </c>
      <c r="D35" s="235"/>
      <c r="E35" s="235"/>
    </row>
    <row r="36" spans="1:9" ht="13.15" thickBot="1" x14ac:dyDescent="0.4">
      <c r="A36" s="319"/>
      <c r="B36" s="321"/>
      <c r="C36" s="323"/>
    </row>
    <row r="37" spans="1:9" ht="13.5" thickTop="1" x14ac:dyDescent="0.4">
      <c r="A37" s="56" t="s">
        <v>35</v>
      </c>
      <c r="B37" s="57">
        <f>IF($D37=1,G78,0)</f>
        <v>1400000</v>
      </c>
      <c r="C37" s="58">
        <f t="shared" ref="C37:C48" si="6">+B37/$B$37</f>
        <v>1</v>
      </c>
      <c r="D37" s="26">
        <v>1</v>
      </c>
      <c r="E37" s="59" t="s">
        <v>36</v>
      </c>
    </row>
    <row r="38" spans="1:9" ht="13.5" thickBot="1" x14ac:dyDescent="0.45">
      <c r="A38" s="60" t="s">
        <v>37</v>
      </c>
      <c r="B38" s="61">
        <f>+B37</f>
        <v>1400000</v>
      </c>
      <c r="C38" s="62">
        <f t="shared" si="6"/>
        <v>1</v>
      </c>
    </row>
    <row r="39" spans="1:9" ht="13.15" thickTop="1" x14ac:dyDescent="0.35">
      <c r="A39" s="63" t="s">
        <v>38</v>
      </c>
      <c r="B39" s="57">
        <f>IF($D39=1,G80,0)</f>
        <v>-838600</v>
      </c>
      <c r="C39" s="64">
        <f t="shared" si="6"/>
        <v>-0.59899999999999998</v>
      </c>
      <c r="D39" s="26">
        <v>1</v>
      </c>
      <c r="E39" s="59" t="s">
        <v>39</v>
      </c>
    </row>
    <row r="40" spans="1:9" ht="13.15" x14ac:dyDescent="0.4">
      <c r="A40" s="65" t="s">
        <v>40</v>
      </c>
      <c r="B40" s="66">
        <f>+B37+B39</f>
        <v>561400</v>
      </c>
      <c r="C40" s="67">
        <f t="shared" si="6"/>
        <v>0.40100000000000002</v>
      </c>
    </row>
    <row r="41" spans="1:9" x14ac:dyDescent="0.35">
      <c r="A41" s="68" t="s">
        <v>41</v>
      </c>
      <c r="B41" s="289">
        <v>-332500</v>
      </c>
      <c r="C41" s="290">
        <f t="shared" si="6"/>
        <v>-0.23749999999999999</v>
      </c>
      <c r="D41" s="26">
        <v>1</v>
      </c>
      <c r="E41" s="59" t="s">
        <v>42</v>
      </c>
    </row>
    <row r="42" spans="1:9" ht="13.15" x14ac:dyDescent="0.4">
      <c r="A42" s="71" t="s">
        <v>43</v>
      </c>
      <c r="B42" s="72">
        <f>+B40+B41</f>
        <v>228900</v>
      </c>
      <c r="C42" s="67">
        <f t="shared" si="6"/>
        <v>0.16350000000000001</v>
      </c>
      <c r="F42" s="73"/>
      <c r="G42" s="73"/>
      <c r="H42" s="73"/>
    </row>
    <row r="43" spans="1:9" x14ac:dyDescent="0.35">
      <c r="A43" s="68" t="s">
        <v>44</v>
      </c>
      <c r="B43" s="69">
        <f>IF($D43=1,-B5/10,0)</f>
        <v>-20000</v>
      </c>
      <c r="C43" s="70">
        <f t="shared" si="6"/>
        <v>-1.4285714285714285E-2</v>
      </c>
      <c r="D43" s="26">
        <v>1</v>
      </c>
      <c r="E43" s="59" t="s">
        <v>45</v>
      </c>
      <c r="F43" s="74"/>
      <c r="G43" s="74"/>
      <c r="H43" s="74"/>
    </row>
    <row r="44" spans="1:9" ht="13.15" x14ac:dyDescent="0.4">
      <c r="A44" s="71" t="s">
        <v>46</v>
      </c>
      <c r="B44" s="72">
        <f>+B42+B43</f>
        <v>208900</v>
      </c>
      <c r="C44" s="67">
        <f t="shared" si="6"/>
        <v>0.14921428571428572</v>
      </c>
      <c r="F44" s="73"/>
      <c r="G44" s="73"/>
      <c r="H44" s="73"/>
    </row>
    <row r="45" spans="1:9" x14ac:dyDescent="0.35">
      <c r="A45" s="75" t="s">
        <v>47</v>
      </c>
      <c r="B45" s="69">
        <f>IF($D45=1,-B13*D86,0)</f>
        <v>-5000</v>
      </c>
      <c r="C45" s="70">
        <f t="shared" si="6"/>
        <v>-3.5714285714285713E-3</v>
      </c>
      <c r="D45" s="26">
        <v>1</v>
      </c>
      <c r="E45" s="59" t="s">
        <v>48</v>
      </c>
      <c r="F45" s="74"/>
      <c r="G45" s="74"/>
      <c r="H45" s="74"/>
    </row>
    <row r="46" spans="1:9" ht="13.15" x14ac:dyDescent="0.4">
      <c r="A46" s="71" t="s">
        <v>49</v>
      </c>
      <c r="B46" s="72">
        <f>+B44+B45</f>
        <v>203900</v>
      </c>
      <c r="C46" s="67">
        <f t="shared" si="6"/>
        <v>0.14564285714285713</v>
      </c>
      <c r="F46" s="73"/>
      <c r="G46" s="73"/>
      <c r="H46" s="73"/>
    </row>
    <row r="47" spans="1:9" x14ac:dyDescent="0.35">
      <c r="A47" s="68" t="s">
        <v>99</v>
      </c>
      <c r="B47" s="69">
        <f>IF($D47=1,-B46*D87,0)</f>
        <v>-50975</v>
      </c>
      <c r="C47" s="70">
        <f t="shared" si="6"/>
        <v>-3.6410714285714282E-2</v>
      </c>
      <c r="D47" s="26">
        <v>1</v>
      </c>
      <c r="E47" s="59" t="s">
        <v>51</v>
      </c>
      <c r="F47" s="74"/>
      <c r="G47" s="74"/>
      <c r="H47" s="74"/>
    </row>
    <row r="48" spans="1:9" ht="15" x14ac:dyDescent="0.35">
      <c r="A48" s="76" t="s">
        <v>52</v>
      </c>
      <c r="B48" s="77">
        <f>+B46+B47</f>
        <v>152925</v>
      </c>
      <c r="C48" s="78">
        <f t="shared" si="6"/>
        <v>0.10923214285714286</v>
      </c>
      <c r="D48" s="79"/>
      <c r="E48" s="79"/>
      <c r="F48" s="79"/>
      <c r="G48" s="79"/>
      <c r="H48" s="79"/>
    </row>
    <row r="49" spans="1:9" ht="13.15" thickBot="1" x14ac:dyDescent="0.4"/>
    <row r="50" spans="1:9" ht="13.15" thickTop="1" x14ac:dyDescent="0.35">
      <c r="A50" s="303" t="s">
        <v>53</v>
      </c>
      <c r="B50" s="305" t="s">
        <v>54</v>
      </c>
      <c r="C50" s="307" t="s">
        <v>53</v>
      </c>
      <c r="D50" s="235"/>
      <c r="E50" s="235"/>
      <c r="F50" s="235"/>
      <c r="G50" s="235"/>
      <c r="H50" s="235">
        <f>+H49*C40</f>
        <v>0</v>
      </c>
      <c r="I50" s="31"/>
    </row>
    <row r="51" spans="1:9" ht="13.15" thickBot="1" x14ac:dyDescent="0.4">
      <c r="A51" s="304"/>
      <c r="B51" s="306"/>
      <c r="C51" s="308"/>
      <c r="D51" s="235"/>
      <c r="E51" s="235"/>
      <c r="F51" s="235"/>
      <c r="G51" s="235"/>
      <c r="H51" s="235"/>
    </row>
    <row r="52" spans="1:9" ht="13.15" thickTop="1" x14ac:dyDescent="0.35">
      <c r="A52" s="80" t="s">
        <v>55</v>
      </c>
      <c r="B52" s="82">
        <v>0</v>
      </c>
      <c r="C52" s="82">
        <f>+C8</f>
        <v>1300000</v>
      </c>
      <c r="D52" s="236"/>
      <c r="E52" s="236"/>
      <c r="F52" s="236"/>
      <c r="G52" s="236"/>
      <c r="H52" s="236"/>
    </row>
    <row r="53" spans="1:9" x14ac:dyDescent="0.35">
      <c r="A53" s="75" t="s">
        <v>56</v>
      </c>
      <c r="B53" s="84">
        <v>0</v>
      </c>
      <c r="C53" s="84">
        <f>+D8</f>
        <v>-865740</v>
      </c>
      <c r="D53" s="31"/>
      <c r="E53" s="31"/>
      <c r="F53" s="31"/>
      <c r="G53" s="31"/>
      <c r="H53" s="31"/>
    </row>
    <row r="54" spans="1:9" x14ac:dyDescent="0.35">
      <c r="A54" s="68" t="s">
        <v>57</v>
      </c>
      <c r="B54" s="84">
        <v>0</v>
      </c>
      <c r="C54" s="84">
        <f>+B41</f>
        <v>-332500</v>
      </c>
      <c r="D54" s="31"/>
      <c r="E54" s="31"/>
      <c r="F54" s="31"/>
      <c r="G54" s="31"/>
      <c r="H54" s="31"/>
    </row>
    <row r="55" spans="1:9" x14ac:dyDescent="0.35">
      <c r="A55" s="68" t="s">
        <v>58</v>
      </c>
      <c r="B55" s="84"/>
      <c r="C55" s="84">
        <f>+B45</f>
        <v>-5000</v>
      </c>
      <c r="D55" s="31"/>
      <c r="E55" s="31"/>
      <c r="F55" s="31"/>
      <c r="G55" s="31"/>
      <c r="H55" s="31"/>
    </row>
    <row r="56" spans="1:9" ht="13.15" thickBot="1" x14ac:dyDescent="0.4">
      <c r="A56" s="68" t="s">
        <v>100</v>
      </c>
      <c r="B56" s="84"/>
      <c r="C56" s="84">
        <f>+B47</f>
        <v>-50975</v>
      </c>
      <c r="D56" s="31"/>
      <c r="E56" s="31"/>
      <c r="F56" s="31"/>
      <c r="G56" s="31"/>
      <c r="H56" s="31"/>
    </row>
    <row r="57" spans="1:9" ht="13.9" thickTop="1" thickBot="1" x14ac:dyDescent="0.45">
      <c r="A57" s="86" t="s">
        <v>60</v>
      </c>
      <c r="B57" s="87">
        <f>SUM(B52:B56)</f>
        <v>0</v>
      </c>
      <c r="C57" s="87">
        <f>SUM(C52:C56)</f>
        <v>45785</v>
      </c>
      <c r="D57" s="237"/>
      <c r="E57" s="237"/>
      <c r="F57" s="237"/>
      <c r="G57" s="237"/>
      <c r="H57" s="237"/>
    </row>
    <row r="58" spans="1:9" ht="13.15" thickTop="1" x14ac:dyDescent="0.35">
      <c r="A58" s="75" t="s">
        <v>61</v>
      </c>
      <c r="B58" s="57">
        <f>-B5</f>
        <v>-200000</v>
      </c>
      <c r="C58" s="57"/>
      <c r="D58" s="31"/>
      <c r="E58" s="31"/>
      <c r="F58" s="31"/>
      <c r="G58" s="31"/>
      <c r="H58" s="31"/>
    </row>
    <row r="59" spans="1:9" ht="13.15" thickBot="1" x14ac:dyDescent="0.4">
      <c r="A59" s="75"/>
      <c r="B59" s="238"/>
      <c r="C59" s="84">
        <f>SUM(B59:B59)</f>
        <v>0</v>
      </c>
      <c r="D59" s="31"/>
      <c r="E59" s="31"/>
      <c r="F59" s="31"/>
      <c r="G59" s="31"/>
      <c r="H59" s="31"/>
    </row>
    <row r="60" spans="1:9" ht="13.9" thickTop="1" thickBot="1" x14ac:dyDescent="0.45">
      <c r="A60" s="86" t="s">
        <v>62</v>
      </c>
      <c r="B60" s="87">
        <f>+B57+B58</f>
        <v>-200000</v>
      </c>
      <c r="C60" s="87">
        <f>+C58</f>
        <v>0</v>
      </c>
      <c r="D60" s="237"/>
      <c r="E60" s="237"/>
      <c r="F60" s="237"/>
      <c r="G60" s="237"/>
      <c r="H60" s="237"/>
    </row>
    <row r="61" spans="1:9" ht="13.15" thickTop="1" x14ac:dyDescent="0.35">
      <c r="A61" s="68" t="s">
        <v>63</v>
      </c>
      <c r="B61" s="84">
        <f>+B13</f>
        <v>100000</v>
      </c>
      <c r="C61" s="84"/>
      <c r="D61" s="31"/>
      <c r="E61" s="31"/>
      <c r="F61" s="31"/>
      <c r="G61" s="31"/>
      <c r="H61" s="31"/>
    </row>
    <row r="62" spans="1:9" x14ac:dyDescent="0.35">
      <c r="A62" s="68" t="s">
        <v>64</v>
      </c>
      <c r="B62" s="84">
        <f>+B21</f>
        <v>150000</v>
      </c>
      <c r="C62" s="84"/>
      <c r="D62" s="31"/>
      <c r="E62" s="31"/>
      <c r="F62" s="31"/>
      <c r="G62" s="31"/>
      <c r="H62" s="31"/>
    </row>
    <row r="63" spans="1:9" ht="13.15" thickBot="1" x14ac:dyDescent="0.4">
      <c r="A63" s="68" t="s">
        <v>65</v>
      </c>
      <c r="B63" s="84" t="e">
        <f>+#REF!</f>
        <v>#REF!</v>
      </c>
      <c r="C63" s="84">
        <f>IF(B67+C57+C60+C61+C62&lt;0,-(B67+C57+C60+C61+C62),0)</f>
        <v>0</v>
      </c>
      <c r="D63" s="31"/>
      <c r="E63" s="31"/>
      <c r="F63" s="31"/>
      <c r="G63" s="31"/>
      <c r="H63" s="31"/>
    </row>
    <row r="64" spans="1:9" ht="13.9" thickTop="1" thickBot="1" x14ac:dyDescent="0.45">
      <c r="A64" s="239" t="s">
        <v>66</v>
      </c>
      <c r="B64" s="91">
        <f>+B62+B61</f>
        <v>250000</v>
      </c>
      <c r="C64" s="91">
        <f>+C62+C61</f>
        <v>0</v>
      </c>
      <c r="D64" s="240"/>
      <c r="E64" s="240"/>
      <c r="F64" s="240"/>
      <c r="G64" s="240"/>
      <c r="H64" s="240"/>
    </row>
    <row r="65" spans="1:11" ht="15.75" thickTop="1" thickBot="1" x14ac:dyDescent="0.4">
      <c r="A65" s="93" t="s">
        <v>67</v>
      </c>
      <c r="B65" s="241">
        <f>+B57+B60+B64</f>
        <v>50000</v>
      </c>
      <c r="C65" s="241">
        <f>+C57+C60+C64</f>
        <v>45785</v>
      </c>
      <c r="D65" s="242"/>
      <c r="E65" s="242"/>
      <c r="F65" s="242"/>
      <c r="G65" s="242"/>
      <c r="H65" s="242"/>
    </row>
    <row r="66" spans="1:11" ht="13.9" thickTop="1" thickBot="1" x14ac:dyDescent="0.4">
      <c r="A66" s="96" t="s">
        <v>68</v>
      </c>
      <c r="B66" s="84">
        <v>0</v>
      </c>
      <c r="C66" s="97">
        <f>+B67</f>
        <v>50000</v>
      </c>
      <c r="D66" s="231"/>
      <c r="E66" s="231"/>
      <c r="F66" s="231"/>
      <c r="G66" s="231"/>
      <c r="H66" s="231"/>
    </row>
    <row r="67" spans="1:11" ht="13.9" thickTop="1" thickBot="1" x14ac:dyDescent="0.4">
      <c r="A67" s="98" t="s">
        <v>69</v>
      </c>
      <c r="B67" s="99">
        <f>+B65+B66</f>
        <v>50000</v>
      </c>
      <c r="C67" s="99">
        <f>+C65+C66</f>
        <v>95785</v>
      </c>
      <c r="D67" s="243"/>
      <c r="E67" s="243"/>
      <c r="F67" s="243"/>
      <c r="G67" s="243"/>
      <c r="H67" s="243"/>
    </row>
    <row r="68" spans="1:11" ht="13.15" thickTop="1" x14ac:dyDescent="0.35"/>
    <row r="71" spans="1:11" ht="15" x14ac:dyDescent="0.4">
      <c r="A71" s="393" t="s">
        <v>74</v>
      </c>
      <c r="B71" s="393"/>
      <c r="C71" s="393"/>
      <c r="D71" s="393"/>
      <c r="E71" s="31"/>
      <c r="F71" s="31"/>
      <c r="G71" s="31"/>
      <c r="H71" s="31"/>
      <c r="I71" s="31"/>
    </row>
    <row r="72" spans="1:11" ht="13.15" x14ac:dyDescent="0.4">
      <c r="A72" s="184"/>
      <c r="B72" s="185" t="s">
        <v>75</v>
      </c>
      <c r="C72" s="186" t="s">
        <v>76</v>
      </c>
      <c r="D72" s="186" t="s">
        <v>77</v>
      </c>
    </row>
    <row r="73" spans="1:11" ht="13.15" x14ac:dyDescent="0.4">
      <c r="A73" s="187" t="s">
        <v>78</v>
      </c>
      <c r="B73" s="188"/>
      <c r="C73" s="189"/>
      <c r="D73" s="189"/>
      <c r="E73" s="31"/>
      <c r="F73" s="31"/>
      <c r="G73" s="190"/>
    </row>
    <row r="74" spans="1:11" ht="13.15" x14ac:dyDescent="0.4">
      <c r="A74" s="191"/>
      <c r="B74" s="192"/>
      <c r="C74" s="193"/>
      <c r="D74" s="193"/>
    </row>
    <row r="75" spans="1:11" x14ac:dyDescent="0.35">
      <c r="A75" s="194" t="s">
        <v>79</v>
      </c>
      <c r="B75" s="195">
        <f>+'[2]Complementos de mujer'!B30</f>
        <v>1400000</v>
      </c>
      <c r="C75" s="198">
        <v>1</v>
      </c>
      <c r="D75" s="195">
        <f>+B75*C75</f>
        <v>1400000</v>
      </c>
      <c r="E75" s="31"/>
    </row>
    <row r="76" spans="1:11" x14ac:dyDescent="0.35">
      <c r="A76" s="194" t="s">
        <v>80</v>
      </c>
      <c r="B76" s="197"/>
      <c r="C76" s="198"/>
      <c r="D76" s="197">
        <f>+C76*B76</f>
        <v>0</v>
      </c>
      <c r="F76" s="313"/>
      <c r="G76" s="315" t="s">
        <v>21</v>
      </c>
      <c r="H76" s="394" t="s">
        <v>22</v>
      </c>
      <c r="I76" s="394"/>
      <c r="J76" s="394"/>
      <c r="K76" s="394"/>
    </row>
    <row r="77" spans="1:11" x14ac:dyDescent="0.35">
      <c r="A77" s="199" t="s">
        <v>81</v>
      </c>
      <c r="B77" s="197">
        <f>+'[2]Complementos de mujer'!C31</f>
        <v>0.35</v>
      </c>
      <c r="C77" s="198">
        <v>1</v>
      </c>
      <c r="D77" s="197">
        <f>+B77*C77</f>
        <v>0.35</v>
      </c>
      <c r="F77" s="314"/>
      <c r="G77" s="316"/>
      <c r="H77" s="200" t="str">
        <f>+'[2]Complementos de mujer'!C29</f>
        <v>BOLSOS</v>
      </c>
      <c r="I77" s="200" t="str">
        <f>+'[2]Complementos de mujer'!D29</f>
        <v>ZAPATERIA</v>
      </c>
      <c r="J77" s="200" t="str">
        <f>+'[2]Complementos de mujer'!E29</f>
        <v>JOYERIA</v>
      </c>
      <c r="K77" s="200" t="s">
        <v>26</v>
      </c>
    </row>
    <row r="78" spans="1:11" ht="13.15" x14ac:dyDescent="0.4">
      <c r="A78" s="194" t="s">
        <v>82</v>
      </c>
      <c r="B78" s="197">
        <f>+'[2]Complementos de mujer'!D31</f>
        <v>0.45</v>
      </c>
      <c r="C78" s="198">
        <v>1</v>
      </c>
      <c r="D78" s="197">
        <f>+B78*C78</f>
        <v>0.45</v>
      </c>
      <c r="F78" s="36" t="s">
        <v>27</v>
      </c>
      <c r="G78" s="38">
        <v>1400000</v>
      </c>
      <c r="H78" s="38">
        <f>+$G$78*H79</f>
        <v>489999.99999999994</v>
      </c>
      <c r="I78" s="38">
        <f>+$G$78*I79</f>
        <v>630000</v>
      </c>
      <c r="J78" s="38">
        <f>+$G$78*J79</f>
        <v>70000</v>
      </c>
      <c r="K78" s="39">
        <v>210000</v>
      </c>
    </row>
    <row r="79" spans="1:11" x14ac:dyDescent="0.35">
      <c r="A79" s="194" t="s">
        <v>83</v>
      </c>
      <c r="B79" s="197">
        <f>+'[2]Complementos de mujer'!E31</f>
        <v>0.05</v>
      </c>
      <c r="C79" s="198">
        <v>1</v>
      </c>
      <c r="D79" s="197">
        <f>+B79*C79</f>
        <v>0.05</v>
      </c>
      <c r="F79" s="40" t="s">
        <v>28</v>
      </c>
      <c r="G79" s="41">
        <f>SUM(H79:K79)</f>
        <v>1</v>
      </c>
      <c r="H79" s="201">
        <f>+D77</f>
        <v>0.35</v>
      </c>
      <c r="I79" s="201">
        <f>+D78</f>
        <v>0.45</v>
      </c>
      <c r="J79" s="201">
        <f>+D79</f>
        <v>0.05</v>
      </c>
      <c r="K79" s="201">
        <f>1-H79-I79-J79</f>
        <v>0.15000000000000002</v>
      </c>
    </row>
    <row r="80" spans="1:11" x14ac:dyDescent="0.35">
      <c r="A80" s="194" t="s">
        <v>84</v>
      </c>
      <c r="B80" s="197">
        <f>+'[2]Complementos de mujer'!F31</f>
        <v>0.15000000000000002</v>
      </c>
      <c r="C80" s="198"/>
      <c r="D80" s="197">
        <f>1-D79-D78-D77</f>
        <v>0.14999999999999997</v>
      </c>
      <c r="F80" s="44" t="s">
        <v>29</v>
      </c>
      <c r="G80" s="202">
        <f>-SUM(H80:K80)</f>
        <v>-838600</v>
      </c>
      <c r="H80" s="46">
        <f>+H78*(1-H82)</f>
        <v>284200</v>
      </c>
      <c r="I80" s="46">
        <f>+I78*(1-I82)</f>
        <v>384300</v>
      </c>
      <c r="J80" s="46">
        <f>+J78*(1-J82)</f>
        <v>23099.999999999996</v>
      </c>
      <c r="K80" s="46">
        <f>+K78*(1-K82)</f>
        <v>147000</v>
      </c>
    </row>
    <row r="81" spans="1:11" ht="13.15" x14ac:dyDescent="0.4">
      <c r="A81" s="203" t="s">
        <v>85</v>
      </c>
      <c r="B81" s="204">
        <f>+'[2]Complementos de mujer'!B34</f>
        <v>0.40100000000000002</v>
      </c>
      <c r="C81" s="205">
        <f>+D81/B81</f>
        <v>1</v>
      </c>
      <c r="D81" s="204">
        <f>+G82</f>
        <v>0.40100000000000002</v>
      </c>
      <c r="E81" s="31"/>
      <c r="F81" s="47" t="s">
        <v>30</v>
      </c>
      <c r="G81" s="48">
        <f>SUM(H81:K81)</f>
        <v>561400</v>
      </c>
      <c r="H81" s="49">
        <f>+H78-H80</f>
        <v>205799.99999999994</v>
      </c>
      <c r="I81" s="49">
        <f>+I78-I80</f>
        <v>245700</v>
      </c>
      <c r="J81" s="49">
        <f>+J78-J80</f>
        <v>46900</v>
      </c>
      <c r="K81" s="49">
        <f>+K78-K80</f>
        <v>63000</v>
      </c>
    </row>
    <row r="82" spans="1:11" ht="13.15" x14ac:dyDescent="0.4">
      <c r="A82" s="194"/>
      <c r="B82" s="197"/>
      <c r="C82" s="198"/>
      <c r="D82" s="197"/>
      <c r="F82" s="50" t="s">
        <v>31</v>
      </c>
      <c r="G82" s="51">
        <f>+G81/G78</f>
        <v>0.40100000000000002</v>
      </c>
      <c r="H82" s="52">
        <f>+'[2]Complementos de mujer'!C34</f>
        <v>0.42</v>
      </c>
      <c r="I82" s="52">
        <f>+'[2]Complementos de mujer'!D34</f>
        <v>0.39</v>
      </c>
      <c r="J82" s="52">
        <f>+'[2]Complementos de mujer'!E34</f>
        <v>0.67</v>
      </c>
      <c r="K82" s="53">
        <f>+'[2]Complementos de mujer'!F34</f>
        <v>0.3</v>
      </c>
    </row>
    <row r="83" spans="1:11" ht="13.15" x14ac:dyDescent="0.4">
      <c r="A83" s="187" t="s">
        <v>86</v>
      </c>
      <c r="B83" s="206"/>
      <c r="C83" s="214"/>
      <c r="D83" s="206"/>
      <c r="F83" s="208"/>
      <c r="G83" s="209"/>
      <c r="H83" s="210"/>
      <c r="I83" s="210"/>
      <c r="J83" s="210"/>
      <c r="K83" s="211"/>
    </row>
    <row r="84" spans="1:11" ht="13.15" x14ac:dyDescent="0.4">
      <c r="A84" s="191"/>
      <c r="B84" s="197"/>
      <c r="C84" s="198"/>
      <c r="D84" s="197"/>
      <c r="F84" s="208"/>
      <c r="G84" s="209"/>
      <c r="H84" s="210"/>
      <c r="I84" s="210"/>
      <c r="J84" s="210"/>
      <c r="K84" s="211"/>
    </row>
    <row r="85" spans="1:11" x14ac:dyDescent="0.35">
      <c r="A85" s="194" t="s">
        <v>87</v>
      </c>
      <c r="B85" s="195">
        <f>-'[2]Complementos de mujer'!B42</f>
        <v>350000</v>
      </c>
      <c r="C85" s="198">
        <v>1</v>
      </c>
      <c r="D85" s="195">
        <f>+B85*C85</f>
        <v>350000</v>
      </c>
      <c r="E85" s="31"/>
      <c r="F85" s="31"/>
      <c r="G85" s="190"/>
    </row>
    <row r="86" spans="1:11" x14ac:dyDescent="0.35">
      <c r="A86" s="194" t="s">
        <v>88</v>
      </c>
      <c r="B86" s="197">
        <v>0.05</v>
      </c>
      <c r="C86" s="198">
        <v>1</v>
      </c>
      <c r="D86" s="197">
        <f>+B86*C86</f>
        <v>0.05</v>
      </c>
      <c r="E86" s="31"/>
      <c r="F86" s="190"/>
    </row>
    <row r="87" spans="1:11" x14ac:dyDescent="0.35">
      <c r="A87" s="194" t="s">
        <v>89</v>
      </c>
      <c r="B87" s="197">
        <v>0.25</v>
      </c>
      <c r="C87" s="198">
        <v>1</v>
      </c>
      <c r="D87" s="197">
        <f>+B87*C87</f>
        <v>0.25</v>
      </c>
      <c r="E87" s="31"/>
      <c r="F87" s="190"/>
    </row>
    <row r="88" spans="1:11" x14ac:dyDescent="0.35">
      <c r="A88" s="194"/>
      <c r="B88" s="197"/>
      <c r="C88" s="198"/>
      <c r="D88" s="197"/>
      <c r="F88" s="190"/>
    </row>
    <row r="89" spans="1:11" ht="13.15" x14ac:dyDescent="0.4">
      <c r="A89" s="187" t="s">
        <v>90</v>
      </c>
      <c r="B89" s="206"/>
      <c r="C89" s="214"/>
      <c r="D89" s="206"/>
      <c r="F89" s="190"/>
    </row>
    <row r="90" spans="1:11" ht="13.15" x14ac:dyDescent="0.4">
      <c r="A90" s="212"/>
      <c r="B90" s="213"/>
      <c r="C90" s="214"/>
      <c r="D90" s="213"/>
      <c r="F90" s="190"/>
    </row>
    <row r="91" spans="1:11" x14ac:dyDescent="0.35">
      <c r="A91" s="194" t="s">
        <v>91</v>
      </c>
      <c r="B91" s="195">
        <v>15</v>
      </c>
      <c r="C91" s="198">
        <v>1</v>
      </c>
      <c r="D91" s="215">
        <f>+B91*C91</f>
        <v>15</v>
      </c>
      <c r="E91" s="31"/>
      <c r="F91" s="31"/>
      <c r="G91" s="190"/>
    </row>
    <row r="92" spans="1:11" x14ac:dyDescent="0.35">
      <c r="A92" s="194" t="s">
        <v>92</v>
      </c>
      <c r="B92" s="195">
        <v>15</v>
      </c>
      <c r="C92" s="198">
        <v>1</v>
      </c>
      <c r="D92" s="215">
        <f>+B92*C92</f>
        <v>15</v>
      </c>
      <c r="E92" s="31"/>
      <c r="F92" s="31"/>
      <c r="G92" s="190"/>
    </row>
    <row r="93" spans="1:11" x14ac:dyDescent="0.35">
      <c r="A93" s="194" t="s">
        <v>93</v>
      </c>
      <c r="B93" s="195">
        <v>30</v>
      </c>
      <c r="C93" s="198">
        <v>1</v>
      </c>
      <c r="D93" s="195">
        <f>+C93*B93</f>
        <v>30</v>
      </c>
      <c r="E93" s="31"/>
      <c r="F93" s="31"/>
      <c r="G93" s="190"/>
    </row>
    <row r="94" spans="1:11" x14ac:dyDescent="0.35">
      <c r="B94" s="31"/>
      <c r="C94" s="215"/>
      <c r="F94" s="190"/>
    </row>
    <row r="95" spans="1:11" x14ac:dyDescent="0.35">
      <c r="A95" s="194" t="s">
        <v>94</v>
      </c>
      <c r="B95" s="31"/>
      <c r="C95" s="215"/>
      <c r="D95" s="195">
        <f>-(+B39+(B39/360)*D93)</f>
        <v>908483.33333333337</v>
      </c>
      <c r="F95" s="190"/>
    </row>
    <row r="96" spans="1:11" x14ac:dyDescent="0.35">
      <c r="C96" s="215"/>
      <c r="F96" s="190"/>
    </row>
    <row r="97" spans="1:6" ht="13.15" x14ac:dyDescent="0.4">
      <c r="A97" s="187" t="s">
        <v>95</v>
      </c>
      <c r="B97" s="206"/>
      <c r="C97" s="214"/>
      <c r="D97" s="206"/>
      <c r="F97" s="190"/>
    </row>
    <row r="98" spans="1:6" ht="13.15" x14ac:dyDescent="0.4">
      <c r="A98" s="212"/>
      <c r="B98" s="213"/>
      <c r="C98" s="214"/>
      <c r="D98" s="213"/>
      <c r="F98" s="190"/>
    </row>
    <row r="99" spans="1:6" x14ac:dyDescent="0.35">
      <c r="A99" s="194" t="s">
        <v>96</v>
      </c>
      <c r="B99" s="195">
        <f>+'[2]Complementos de mujer'!B5</f>
        <v>200000</v>
      </c>
      <c r="C99" s="198">
        <v>1</v>
      </c>
      <c r="D99" s="195">
        <f>+B99*C99</f>
        <v>200000</v>
      </c>
      <c r="E99" s="31"/>
      <c r="F99" s="190"/>
    </row>
    <row r="100" spans="1:6" x14ac:dyDescent="0.35">
      <c r="A100" s="194" t="s">
        <v>97</v>
      </c>
      <c r="B100" s="195">
        <f>+'[2]Complementos de mujer'!B13</f>
        <v>100000</v>
      </c>
      <c r="C100" s="198">
        <v>1</v>
      </c>
      <c r="D100" s="195">
        <f>+B100*C100</f>
        <v>100000</v>
      </c>
      <c r="E100" s="31"/>
      <c r="F100" s="190"/>
    </row>
    <row r="101" spans="1:6" x14ac:dyDescent="0.35">
      <c r="A101" s="194" t="s">
        <v>98</v>
      </c>
      <c r="B101" s="195">
        <f>+'[2]Complementos de mujer'!B22</f>
        <v>150000</v>
      </c>
      <c r="C101" s="198">
        <v>1</v>
      </c>
      <c r="D101" s="195">
        <f>+B101*C101</f>
        <v>150000</v>
      </c>
      <c r="E101" s="31"/>
      <c r="F101" s="190"/>
    </row>
    <row r="102" spans="1:6" x14ac:dyDescent="0.35">
      <c r="F102" s="190"/>
    </row>
    <row r="103" spans="1:6" ht="13.15" thickBot="1" x14ac:dyDescent="0.4">
      <c r="F103" s="190"/>
    </row>
    <row r="104" spans="1:6" ht="18" thickTop="1" thickBot="1" x14ac:dyDescent="0.5">
      <c r="A104" s="244" t="s">
        <v>101</v>
      </c>
      <c r="B104" s="245"/>
      <c r="C104" s="246" t="s">
        <v>102</v>
      </c>
      <c r="F104" s="190"/>
    </row>
    <row r="105" spans="1:6" ht="14.25" thickTop="1" thickBot="1" x14ac:dyDescent="0.4">
      <c r="A105" s="247" t="s">
        <v>103</v>
      </c>
      <c r="B105" s="248"/>
      <c r="C105" s="249">
        <v>37000</v>
      </c>
    </row>
    <row r="106" spans="1:6" ht="14.25" thickTop="1" thickBot="1" x14ac:dyDescent="0.4">
      <c r="A106" s="250" t="s">
        <v>104</v>
      </c>
      <c r="B106" s="251"/>
      <c r="C106" s="252">
        <v>8.8999999999999996E-2</v>
      </c>
    </row>
    <row r="107" spans="1:6" ht="14.25" thickTop="1" thickBot="1" x14ac:dyDescent="0.4">
      <c r="A107" s="247" t="s">
        <v>105</v>
      </c>
      <c r="B107" s="248"/>
      <c r="C107" s="249">
        <v>415730.3370786517</v>
      </c>
    </row>
    <row r="108" spans="1:6" ht="14.25" thickTop="1" thickBot="1" x14ac:dyDescent="0.4">
      <c r="A108" s="253" t="s">
        <v>106</v>
      </c>
      <c r="B108" s="251"/>
      <c r="C108" s="252">
        <v>0.46701238836070297</v>
      </c>
    </row>
    <row r="109" spans="1:6" ht="14.25" thickTop="1" thickBot="1" x14ac:dyDescent="0.4">
      <c r="A109" s="247" t="s">
        <v>20</v>
      </c>
      <c r="B109" s="248"/>
      <c r="C109" s="249">
        <v>0</v>
      </c>
    </row>
    <row r="110" spans="1:6" ht="13.15" thickTop="1" x14ac:dyDescent="0.35">
      <c r="A110" s="59"/>
      <c r="B110" s="254"/>
      <c r="C110" s="255"/>
    </row>
    <row r="111" spans="1:6" ht="17.649999999999999" thickBot="1" x14ac:dyDescent="0.5">
      <c r="A111" s="256" t="s">
        <v>107</v>
      </c>
      <c r="B111" s="257"/>
      <c r="C111" s="258"/>
    </row>
    <row r="112" spans="1:6" ht="13.5" thickTop="1" thickBot="1" x14ac:dyDescent="0.4">
      <c r="A112" s="259"/>
      <c r="B112" s="260"/>
      <c r="C112" s="261"/>
    </row>
    <row r="113" spans="1:3" ht="14.65" thickTop="1" thickBot="1" x14ac:dyDescent="0.45">
      <c r="A113" s="262" t="s">
        <v>108</v>
      </c>
      <c r="B113" s="263"/>
      <c r="C113" s="291">
        <f>+B44/I9</f>
        <v>0.48022988505747127</v>
      </c>
    </row>
    <row r="114" spans="1:3" ht="13.5" thickTop="1" thickBot="1" x14ac:dyDescent="0.4">
      <c r="A114" s="265" t="s">
        <v>109</v>
      </c>
      <c r="B114" s="266"/>
      <c r="C114" s="267">
        <f>+B44/B37</f>
        <v>0.14921428571428572</v>
      </c>
    </row>
    <row r="115" spans="1:3" ht="13.5" thickTop="1" thickBot="1" x14ac:dyDescent="0.4">
      <c r="A115" s="268" t="s">
        <v>110</v>
      </c>
      <c r="B115" s="269"/>
      <c r="C115" s="270">
        <f>+B37/I9</f>
        <v>3.2183908045977012</v>
      </c>
    </row>
    <row r="116" spans="1:3" ht="13.5" thickTop="1" thickBot="1" x14ac:dyDescent="0.4">
      <c r="A116" s="265" t="s">
        <v>111</v>
      </c>
      <c r="B116" s="266"/>
      <c r="C116" s="271">
        <f>+C114*C115</f>
        <v>0.48022988505747127</v>
      </c>
    </row>
    <row r="117" spans="1:3" ht="13.5" thickTop="1" thickBot="1" x14ac:dyDescent="0.4">
      <c r="C117" s="261"/>
    </row>
    <row r="118" spans="1:3" ht="14.65" thickTop="1" thickBot="1" x14ac:dyDescent="0.45">
      <c r="A118" s="262" t="s">
        <v>112</v>
      </c>
      <c r="B118" s="263"/>
      <c r="C118" s="272">
        <f>+B48/I23</f>
        <v>0.5048279277048775</v>
      </c>
    </row>
    <row r="119" spans="1:3" ht="14.65" thickTop="1" thickBot="1" x14ac:dyDescent="0.45">
      <c r="A119" s="273" t="s">
        <v>113</v>
      </c>
      <c r="B119" s="274"/>
      <c r="C119" s="275">
        <v>1.1883600136661402E-2</v>
      </c>
    </row>
    <row r="120" spans="1:3" ht="14.65" thickTop="1" thickBot="1" x14ac:dyDescent="0.45">
      <c r="A120" s="276" t="s">
        <v>114</v>
      </c>
      <c r="B120" s="277"/>
      <c r="C120" s="278">
        <v>0.36502831666059504</v>
      </c>
    </row>
    <row r="121" spans="1:3" ht="14.65" thickTop="1" thickBot="1" x14ac:dyDescent="0.45">
      <c r="A121" s="273" t="s">
        <v>115</v>
      </c>
      <c r="B121" s="274"/>
      <c r="C121" s="279">
        <v>0.95755101653770291</v>
      </c>
    </row>
    <row r="122" spans="1:3" ht="14.65" thickTop="1" thickBot="1" x14ac:dyDescent="0.45">
      <c r="A122" s="276" t="s">
        <v>116</v>
      </c>
      <c r="B122" s="277"/>
      <c r="C122" s="278">
        <v>0.75</v>
      </c>
    </row>
    <row r="123" spans="1:3" ht="14.65" thickTop="1" thickBot="1" x14ac:dyDescent="0.45">
      <c r="A123" s="273" t="s">
        <v>20</v>
      </c>
      <c r="B123" s="274"/>
      <c r="C123" s="275">
        <v>0.54483386436049175</v>
      </c>
    </row>
    <row r="124" spans="1:3" ht="13.15" thickTop="1" x14ac:dyDescent="0.35"/>
  </sheetData>
  <mergeCells count="39">
    <mergeCell ref="A71:D71"/>
    <mergeCell ref="F76:F77"/>
    <mergeCell ref="G76:G77"/>
    <mergeCell ref="H76:K76"/>
    <mergeCell ref="H19:H20"/>
    <mergeCell ref="I19:I20"/>
    <mergeCell ref="A35:A36"/>
    <mergeCell ref="B35:B36"/>
    <mergeCell ref="C35:C36"/>
    <mergeCell ref="A50:A51"/>
    <mergeCell ref="B50:B51"/>
    <mergeCell ref="C50:C51"/>
    <mergeCell ref="G11:G12"/>
    <mergeCell ref="H11:H12"/>
    <mergeCell ref="I11:I12"/>
    <mergeCell ref="A19:A20"/>
    <mergeCell ref="B19:B20"/>
    <mergeCell ref="C19:C20"/>
    <mergeCell ref="D19:D20"/>
    <mergeCell ref="E19:E20"/>
    <mergeCell ref="F19:F20"/>
    <mergeCell ref="G19:G20"/>
    <mergeCell ref="A11:A12"/>
    <mergeCell ref="B11:B12"/>
    <mergeCell ref="C11:C12"/>
    <mergeCell ref="D11:D12"/>
    <mergeCell ref="E11:E12"/>
    <mergeCell ref="F11:F12"/>
    <mergeCell ref="A1:I1"/>
    <mergeCell ref="A2:I2"/>
    <mergeCell ref="A3:A4"/>
    <mergeCell ref="B3:B4"/>
    <mergeCell ref="C3:C4"/>
    <mergeCell ref="D3:D4"/>
    <mergeCell ref="E3:E4"/>
    <mergeCell ref="F3:F4"/>
    <mergeCell ref="G3:G4"/>
    <mergeCell ref="H3:H4"/>
    <mergeCell ref="I3:I4"/>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87E2A-EEFD-423B-8A8E-6FBEA96EB9FE}">
  <dimension ref="A1:K124"/>
  <sheetViews>
    <sheetView topLeftCell="A5" workbookViewId="0">
      <selection activeCell="F30" sqref="F30"/>
    </sheetView>
  </sheetViews>
  <sheetFormatPr baseColWidth="10" defaultRowHeight="12.75" x14ac:dyDescent="0.35"/>
  <cols>
    <col min="1" max="3" width="16.19921875" customWidth="1"/>
  </cols>
  <sheetData>
    <row r="1" spans="1:9" ht="151.9" customHeight="1" thickBot="1" x14ac:dyDescent="0.4">
      <c r="A1" s="395" t="s">
        <v>126</v>
      </c>
      <c r="B1" s="396"/>
      <c r="C1" s="396"/>
      <c r="D1" s="396"/>
      <c r="E1" s="396"/>
      <c r="F1" s="396"/>
      <c r="G1" s="396"/>
      <c r="H1" s="396"/>
      <c r="I1" s="396"/>
    </row>
    <row r="2" spans="1:9" ht="18" thickTop="1" thickBot="1" x14ac:dyDescent="0.5">
      <c r="A2" s="336" t="s">
        <v>0</v>
      </c>
      <c r="B2" s="337"/>
      <c r="C2" s="337"/>
      <c r="D2" s="337"/>
      <c r="E2" s="337"/>
      <c r="F2" s="337"/>
      <c r="G2" s="337"/>
      <c r="H2" s="337"/>
      <c r="I2" s="338"/>
    </row>
    <row r="3" spans="1:9" ht="13.15" thickTop="1" x14ac:dyDescent="0.35">
      <c r="A3" s="339" t="s">
        <v>1</v>
      </c>
      <c r="B3" s="341" t="s">
        <v>2</v>
      </c>
      <c r="C3" s="343">
        <v>1</v>
      </c>
      <c r="D3" s="343">
        <f>+C3+1</f>
        <v>2</v>
      </c>
      <c r="E3" s="343">
        <f>+D3+1</f>
        <v>3</v>
      </c>
      <c r="F3" s="343">
        <f>+E3+1</f>
        <v>4</v>
      </c>
      <c r="G3" s="343">
        <f>+F3+1</f>
        <v>5</v>
      </c>
      <c r="H3" s="343">
        <f>+G3+1</f>
        <v>6</v>
      </c>
      <c r="I3" s="345" t="s">
        <v>3</v>
      </c>
    </row>
    <row r="4" spans="1:9" ht="13.15" thickBot="1" x14ac:dyDescent="0.4">
      <c r="A4" s="340"/>
      <c r="B4" s="342"/>
      <c r="C4" s="344"/>
      <c r="D4" s="344"/>
      <c r="E4" s="344"/>
      <c r="F4" s="344"/>
      <c r="G4" s="344"/>
      <c r="H4" s="344"/>
      <c r="I4" s="346"/>
    </row>
    <row r="5" spans="1:9" ht="13.15" thickTop="1" x14ac:dyDescent="0.35">
      <c r="A5" s="2" t="str">
        <f>+'[2]Complementos de mujer'!A5</f>
        <v>Canon</v>
      </c>
      <c r="B5" s="57">
        <f>IF(B$24=0,0,D99)</f>
        <v>200000</v>
      </c>
      <c r="C5" s="216"/>
      <c r="D5" s="217"/>
      <c r="E5" s="217"/>
      <c r="F5" s="218">
        <f>IF($D$43=1,B43,0)</f>
        <v>-20000</v>
      </c>
      <c r="G5" s="217"/>
      <c r="H5" s="219"/>
      <c r="I5" s="57">
        <f>SUM(B5:H5)</f>
        <v>180000</v>
      </c>
    </row>
    <row r="6" spans="1:9" x14ac:dyDescent="0.35">
      <c r="A6" s="2" t="s">
        <v>5</v>
      </c>
      <c r="B6" s="84">
        <v>0</v>
      </c>
      <c r="C6" s="216"/>
      <c r="D6" s="218">
        <v>59215</v>
      </c>
      <c r="E6" s="218"/>
      <c r="F6" s="218"/>
      <c r="G6" s="218"/>
      <c r="H6" s="220"/>
      <c r="I6" s="84">
        <f>SUM(B6:H6)</f>
        <v>59215</v>
      </c>
    </row>
    <row r="7" spans="1:9" x14ac:dyDescent="0.35">
      <c r="A7" s="2" t="s">
        <v>6</v>
      </c>
      <c r="B7" s="84">
        <v>0</v>
      </c>
      <c r="C7" s="216">
        <v>100000</v>
      </c>
      <c r="D7" s="218"/>
      <c r="E7" s="218"/>
      <c r="F7" s="218"/>
      <c r="G7" s="218"/>
      <c r="H7" s="220"/>
      <c r="I7" s="84">
        <f>SUM(B7:H7)</f>
        <v>100000</v>
      </c>
    </row>
    <row r="8" spans="1:9" ht="13.15" thickBot="1" x14ac:dyDescent="0.4">
      <c r="A8" s="2" t="s">
        <v>7</v>
      </c>
      <c r="B8" s="84">
        <f>IF(B$24=0,0,B21+B13-B5)</f>
        <v>50000</v>
      </c>
      <c r="C8" s="284">
        <f>IF($D$37=1,B38-C7,0)</f>
        <v>1370000</v>
      </c>
      <c r="D8" s="218">
        <v>-865740</v>
      </c>
      <c r="E8" s="218">
        <f>IF($D$41=1,C54,0)</f>
        <v>-350000</v>
      </c>
      <c r="G8" s="218">
        <f>IF($D$45=1,C55,0)</f>
        <v>-5000</v>
      </c>
      <c r="H8" s="220">
        <f>IF($D$47=1,C56,0)</f>
        <v>-64100</v>
      </c>
      <c r="I8" s="84">
        <f>SUM(B8:H8)</f>
        <v>135160</v>
      </c>
    </row>
    <row r="9" spans="1:9" ht="15.75" thickTop="1" thickBot="1" x14ac:dyDescent="0.4">
      <c r="A9" s="8" t="s">
        <v>8</v>
      </c>
      <c r="B9" s="9">
        <f t="shared" ref="B9:I9" si="0">SUM(B5:B8)</f>
        <v>250000</v>
      </c>
      <c r="C9" s="221">
        <f t="shared" si="0"/>
        <v>1470000</v>
      </c>
      <c r="D9" s="10">
        <f t="shared" si="0"/>
        <v>-806525</v>
      </c>
      <c r="E9" s="10">
        <f t="shared" si="0"/>
        <v>-350000</v>
      </c>
      <c r="F9" s="10">
        <f t="shared" si="0"/>
        <v>-20000</v>
      </c>
      <c r="G9" s="10">
        <f t="shared" si="0"/>
        <v>-5000</v>
      </c>
      <c r="H9" s="10">
        <f t="shared" si="0"/>
        <v>-64100</v>
      </c>
      <c r="I9" s="9">
        <f t="shared" si="0"/>
        <v>474375</v>
      </c>
    </row>
    <row r="10" spans="1:9" ht="15.75" thickTop="1" thickBot="1" x14ac:dyDescent="0.4">
      <c r="A10" s="11"/>
      <c r="B10" s="12"/>
      <c r="C10" s="12"/>
      <c r="D10" s="12"/>
      <c r="E10" s="12"/>
      <c r="F10" s="12"/>
      <c r="G10" s="12"/>
      <c r="H10" s="12"/>
      <c r="I10" s="222"/>
    </row>
    <row r="11" spans="1:9" ht="13.15" thickTop="1" x14ac:dyDescent="0.35">
      <c r="A11" s="332" t="s">
        <v>9</v>
      </c>
      <c r="B11" s="326" t="str">
        <f t="shared" ref="B11:I11" si="1">+B3</f>
        <v>BALANCE INICIAL</v>
      </c>
      <c r="C11" s="334">
        <f t="shared" si="1"/>
        <v>1</v>
      </c>
      <c r="D11" s="324">
        <f t="shared" si="1"/>
        <v>2</v>
      </c>
      <c r="E11" s="324">
        <f t="shared" si="1"/>
        <v>3</v>
      </c>
      <c r="F11" s="324">
        <f t="shared" si="1"/>
        <v>4</v>
      </c>
      <c r="G11" s="324">
        <f t="shared" si="1"/>
        <v>5</v>
      </c>
      <c r="H11" s="387">
        <f t="shared" si="1"/>
        <v>6</v>
      </c>
      <c r="I11" s="326" t="str">
        <f t="shared" si="1"/>
        <v>BALANCE FINAL</v>
      </c>
    </row>
    <row r="12" spans="1:9" ht="13.15" thickBot="1" x14ac:dyDescent="0.4">
      <c r="A12" s="333"/>
      <c r="B12" s="327"/>
      <c r="C12" s="335"/>
      <c r="D12" s="325"/>
      <c r="E12" s="325"/>
      <c r="F12" s="325"/>
      <c r="G12" s="325"/>
      <c r="H12" s="388"/>
      <c r="I12" s="327"/>
    </row>
    <row r="13" spans="1:9" ht="13.15" thickTop="1" x14ac:dyDescent="0.35">
      <c r="A13" s="14" t="s">
        <v>10</v>
      </c>
      <c r="B13" s="57">
        <f>IF(B$24=0,0,D100)</f>
        <v>100000</v>
      </c>
      <c r="C13" s="223"/>
      <c r="D13" s="217"/>
      <c r="E13" s="217"/>
      <c r="F13" s="217"/>
      <c r="G13" s="217"/>
      <c r="H13" s="219"/>
      <c r="I13" s="84">
        <f>SUM(B13:H13)</f>
        <v>100000</v>
      </c>
    </row>
    <row r="14" spans="1:9" x14ac:dyDescent="0.35">
      <c r="A14" s="2" t="s">
        <v>11</v>
      </c>
      <c r="B14" s="84"/>
      <c r="C14" s="216"/>
      <c r="D14" s="218">
        <v>32075</v>
      </c>
      <c r="E14" s="218"/>
      <c r="F14" s="218"/>
      <c r="G14" s="218"/>
      <c r="H14" s="220"/>
      <c r="I14" s="84">
        <f>SUM(B14:H14)</f>
        <v>32075</v>
      </c>
    </row>
    <row r="15" spans="1:9" x14ac:dyDescent="0.35">
      <c r="A15" s="2" t="s">
        <v>12</v>
      </c>
      <c r="B15" s="84"/>
      <c r="C15" s="216"/>
      <c r="D15" s="218"/>
      <c r="E15" s="218"/>
      <c r="F15" s="218"/>
      <c r="G15" s="218"/>
      <c r="H15" s="220"/>
      <c r="I15" s="84">
        <f>SUM(B15:H15)</f>
        <v>0</v>
      </c>
    </row>
    <row r="16" spans="1:9" ht="13.15" thickBot="1" x14ac:dyDescent="0.4">
      <c r="A16" s="2" t="s">
        <v>13</v>
      </c>
      <c r="B16" s="84"/>
      <c r="C16" s="216"/>
      <c r="D16" s="218"/>
      <c r="E16" s="218"/>
      <c r="F16" s="218"/>
      <c r="G16" s="218"/>
      <c r="H16" s="220"/>
      <c r="I16" s="84">
        <f>SUM(B16:H16)</f>
        <v>0</v>
      </c>
    </row>
    <row r="17" spans="1:11" ht="13.9" thickTop="1" thickBot="1" x14ac:dyDescent="0.45">
      <c r="A17" s="17" t="s">
        <v>15</v>
      </c>
      <c r="B17" s="18">
        <f t="shared" ref="B17:I17" si="2">SUM(B13:B16)</f>
        <v>100000</v>
      </c>
      <c r="C17" s="224">
        <f t="shared" si="2"/>
        <v>0</v>
      </c>
      <c r="D17" s="18">
        <f t="shared" si="2"/>
        <v>32075</v>
      </c>
      <c r="E17" s="18">
        <f t="shared" si="2"/>
        <v>0</v>
      </c>
      <c r="F17" s="18">
        <f t="shared" si="2"/>
        <v>0</v>
      </c>
      <c r="G17" s="18">
        <f t="shared" si="2"/>
        <v>0</v>
      </c>
      <c r="H17" s="225">
        <f t="shared" si="2"/>
        <v>0</v>
      </c>
      <c r="I17" s="18">
        <f t="shared" si="2"/>
        <v>132075</v>
      </c>
      <c r="K17" s="31"/>
    </row>
    <row r="18" spans="1:11" ht="13.9" thickTop="1" thickBot="1" x14ac:dyDescent="0.45">
      <c r="A18" s="19"/>
      <c r="B18" s="12"/>
      <c r="C18" s="226"/>
      <c r="D18" s="226"/>
      <c r="E18" s="226"/>
      <c r="F18" s="226"/>
      <c r="G18" s="226"/>
      <c r="H18" s="226"/>
      <c r="I18" s="222"/>
    </row>
    <row r="19" spans="1:11" ht="13.15" thickTop="1" x14ac:dyDescent="0.35">
      <c r="A19" s="328" t="s">
        <v>16</v>
      </c>
      <c r="B19" s="311" t="s">
        <v>2</v>
      </c>
      <c r="C19" s="330">
        <f t="shared" ref="C19:H19" si="3">+C11</f>
        <v>1</v>
      </c>
      <c r="D19" s="309">
        <f t="shared" si="3"/>
        <v>2</v>
      </c>
      <c r="E19" s="309">
        <f t="shared" si="3"/>
        <v>3</v>
      </c>
      <c r="F19" s="309">
        <f t="shared" si="3"/>
        <v>4</v>
      </c>
      <c r="G19" s="309">
        <f t="shared" si="3"/>
        <v>5</v>
      </c>
      <c r="H19" s="391">
        <f t="shared" si="3"/>
        <v>6</v>
      </c>
      <c r="I19" s="311" t="s">
        <v>3</v>
      </c>
    </row>
    <row r="20" spans="1:11" ht="13.15" thickBot="1" x14ac:dyDescent="0.4">
      <c r="A20" s="329"/>
      <c r="B20" s="312"/>
      <c r="C20" s="331"/>
      <c r="D20" s="310"/>
      <c r="E20" s="310"/>
      <c r="F20" s="310"/>
      <c r="G20" s="310"/>
      <c r="H20" s="392"/>
      <c r="I20" s="312"/>
    </row>
    <row r="21" spans="1:11" ht="13.15" thickTop="1" x14ac:dyDescent="0.35">
      <c r="A21" s="14" t="s">
        <v>17</v>
      </c>
      <c r="B21" s="57">
        <f>IF(B$24=0,0,D101)</f>
        <v>150000</v>
      </c>
      <c r="C21" s="223"/>
      <c r="D21" s="217"/>
      <c r="E21" s="217"/>
      <c r="F21" s="217"/>
      <c r="G21" s="217"/>
      <c r="H21" s="219"/>
      <c r="I21" s="57">
        <f>SUM(B21:H21)</f>
        <v>150000</v>
      </c>
    </row>
    <row r="22" spans="1:11" ht="13.15" thickBot="1" x14ac:dyDescent="0.4">
      <c r="A22" s="22" t="s">
        <v>18</v>
      </c>
      <c r="B22" s="84"/>
      <c r="C22" s="216">
        <f>IF($D$37=1,B37,0)</f>
        <v>1470000</v>
      </c>
      <c r="D22" s="227">
        <f>IF($D$39=1,B39,0)</f>
        <v>-838600</v>
      </c>
      <c r="E22" s="218">
        <f>IF($D$41=1,B41,0)</f>
        <v>-350000</v>
      </c>
      <c r="F22" s="218">
        <f>IF($D$43=1,B43,0)</f>
        <v>-20000</v>
      </c>
      <c r="G22" s="218">
        <f>IF($D$45=1,B45,0)</f>
        <v>-5000</v>
      </c>
      <c r="H22" s="220">
        <f>IF($D$47=1,B47,0)</f>
        <v>-64100</v>
      </c>
      <c r="I22" s="84">
        <f>SUM(B22:H22)</f>
        <v>192300</v>
      </c>
    </row>
    <row r="23" spans="1:11" ht="15.75" thickTop="1" thickBot="1" x14ac:dyDescent="0.4">
      <c r="A23" s="23" t="s">
        <v>19</v>
      </c>
      <c r="B23" s="24">
        <f t="shared" ref="B23:I23" si="4">SUM(B21:B22)</f>
        <v>150000</v>
      </c>
      <c r="C23" s="228">
        <f t="shared" si="4"/>
        <v>1470000</v>
      </c>
      <c r="D23" s="24">
        <f t="shared" si="4"/>
        <v>-838600</v>
      </c>
      <c r="E23" s="24">
        <f t="shared" si="4"/>
        <v>-350000</v>
      </c>
      <c r="F23" s="24">
        <f t="shared" si="4"/>
        <v>-20000</v>
      </c>
      <c r="G23" s="24">
        <f t="shared" si="4"/>
        <v>-5000</v>
      </c>
      <c r="H23" s="229">
        <f t="shared" si="4"/>
        <v>-64100</v>
      </c>
      <c r="I23" s="24">
        <f t="shared" si="4"/>
        <v>342300</v>
      </c>
    </row>
    <row r="24" spans="1:11" ht="15.4" thickTop="1" x14ac:dyDescent="0.35">
      <c r="A24" s="230"/>
      <c r="B24" s="26">
        <v>1</v>
      </c>
      <c r="C24" s="231"/>
      <c r="D24" s="231"/>
      <c r="E24" s="231"/>
      <c r="F24" s="231"/>
      <c r="G24" s="231"/>
      <c r="H24" s="231"/>
      <c r="I24" s="231"/>
    </row>
    <row r="25" spans="1:11" x14ac:dyDescent="0.35">
      <c r="A25" s="232" t="s">
        <v>20</v>
      </c>
      <c r="B25" s="29">
        <f t="shared" ref="B25:I25" si="5">+B9-B17-B23</f>
        <v>0</v>
      </c>
      <c r="C25" s="29">
        <f t="shared" si="5"/>
        <v>0</v>
      </c>
      <c r="D25" s="29">
        <f t="shared" si="5"/>
        <v>0</v>
      </c>
      <c r="E25" s="29">
        <f t="shared" si="5"/>
        <v>0</v>
      </c>
      <c r="F25" s="29">
        <f t="shared" si="5"/>
        <v>0</v>
      </c>
      <c r="G25" s="29">
        <f t="shared" si="5"/>
        <v>0</v>
      </c>
      <c r="H25" s="29">
        <f t="shared" si="5"/>
        <v>0</v>
      </c>
      <c r="I25" s="29">
        <f t="shared" si="5"/>
        <v>0</v>
      </c>
    </row>
    <row r="26" spans="1:11" x14ac:dyDescent="0.35">
      <c r="B26" s="31">
        <f>+B9-B17-B23</f>
        <v>0</v>
      </c>
      <c r="C26" s="31"/>
      <c r="D26" s="31"/>
      <c r="E26" s="31"/>
      <c r="F26" s="31"/>
      <c r="G26" s="233"/>
      <c r="H26" s="234"/>
      <c r="I26" s="234"/>
    </row>
    <row r="27" spans="1:11" x14ac:dyDescent="0.35">
      <c r="G27" s="233"/>
      <c r="H27" s="234"/>
      <c r="I27" s="234"/>
    </row>
    <row r="28" spans="1:11" x14ac:dyDescent="0.35">
      <c r="G28" s="233"/>
      <c r="H28" s="234"/>
      <c r="I28" s="234"/>
    </row>
    <row r="29" spans="1:11" x14ac:dyDescent="0.35">
      <c r="G29" s="233"/>
      <c r="H29" s="234"/>
      <c r="I29" s="234"/>
    </row>
    <row r="30" spans="1:11" x14ac:dyDescent="0.35">
      <c r="G30" s="233"/>
      <c r="H30" s="234"/>
      <c r="I30" s="234"/>
    </row>
    <row r="31" spans="1:11" x14ac:dyDescent="0.35">
      <c r="G31" s="233"/>
      <c r="H31" s="234"/>
      <c r="I31" s="234"/>
    </row>
    <row r="32" spans="1:11" x14ac:dyDescent="0.35">
      <c r="G32" s="233"/>
      <c r="H32" s="234"/>
      <c r="I32" s="234"/>
    </row>
    <row r="33" spans="1:9" x14ac:dyDescent="0.35">
      <c r="G33" s="233"/>
      <c r="H33" s="234"/>
      <c r="I33" s="234"/>
    </row>
    <row r="34" spans="1:9" ht="13.15" thickBot="1" x14ac:dyDescent="0.4">
      <c r="B34" s="31"/>
      <c r="C34" s="31"/>
      <c r="D34" s="31"/>
      <c r="E34" s="31"/>
      <c r="F34" s="31"/>
      <c r="G34" s="233"/>
      <c r="H34" s="234"/>
      <c r="I34" s="234"/>
    </row>
    <row r="35" spans="1:9" ht="13.15" thickTop="1" x14ac:dyDescent="0.35">
      <c r="A35" s="318" t="s">
        <v>32</v>
      </c>
      <c r="B35" s="320" t="s">
        <v>33</v>
      </c>
      <c r="C35" s="322" t="s">
        <v>34</v>
      </c>
      <c r="D35" s="235"/>
      <c r="E35" s="235"/>
    </row>
    <row r="36" spans="1:9" ht="13.15" thickBot="1" x14ac:dyDescent="0.4">
      <c r="A36" s="319"/>
      <c r="B36" s="321"/>
      <c r="C36" s="323"/>
    </row>
    <row r="37" spans="1:9" ht="13.5" thickTop="1" x14ac:dyDescent="0.4">
      <c r="A37" s="292" t="s">
        <v>35</v>
      </c>
      <c r="B37" s="293">
        <v>1470000</v>
      </c>
      <c r="C37" s="294">
        <f t="shared" ref="C37:C48" si="6">+B37/$B$37</f>
        <v>1</v>
      </c>
      <c r="D37" s="26">
        <v>1</v>
      </c>
      <c r="E37" s="59" t="s">
        <v>36</v>
      </c>
    </row>
    <row r="38" spans="1:9" ht="13.5" thickBot="1" x14ac:dyDescent="0.45">
      <c r="A38" s="295" t="s">
        <v>37</v>
      </c>
      <c r="B38" s="296">
        <f>+B37</f>
        <v>1470000</v>
      </c>
      <c r="C38" s="297">
        <f t="shared" si="6"/>
        <v>1</v>
      </c>
    </row>
    <row r="39" spans="1:9" ht="13.15" thickTop="1" x14ac:dyDescent="0.35">
      <c r="A39" s="63" t="s">
        <v>38</v>
      </c>
      <c r="B39" s="57">
        <f>IF($D39=1,G80,0)</f>
        <v>-838600</v>
      </c>
      <c r="C39" s="64">
        <f t="shared" si="6"/>
        <v>-0.57047619047619047</v>
      </c>
      <c r="D39" s="26">
        <v>1</v>
      </c>
      <c r="E39" s="59" t="s">
        <v>39</v>
      </c>
    </row>
    <row r="40" spans="1:9" ht="13.15" x14ac:dyDescent="0.4">
      <c r="A40" s="65" t="s">
        <v>40</v>
      </c>
      <c r="B40" s="66">
        <f>+B37+B39</f>
        <v>631400</v>
      </c>
      <c r="C40" s="67">
        <f t="shared" si="6"/>
        <v>0.42952380952380953</v>
      </c>
    </row>
    <row r="41" spans="1:9" x14ac:dyDescent="0.35">
      <c r="A41" s="68" t="s">
        <v>41</v>
      </c>
      <c r="B41" s="69">
        <f>IF($D41=1,-D85,0)</f>
        <v>-350000</v>
      </c>
      <c r="C41" s="70">
        <f t="shared" si="6"/>
        <v>-0.23809523809523808</v>
      </c>
      <c r="D41" s="26">
        <v>1</v>
      </c>
      <c r="E41" s="59" t="s">
        <v>42</v>
      </c>
    </row>
    <row r="42" spans="1:9" ht="13.15" x14ac:dyDescent="0.4">
      <c r="A42" s="71" t="s">
        <v>43</v>
      </c>
      <c r="B42" s="72">
        <f>+B40+B41</f>
        <v>281400</v>
      </c>
      <c r="C42" s="67">
        <f t="shared" si="6"/>
        <v>0.19142857142857142</v>
      </c>
      <c r="F42" s="73"/>
      <c r="G42" s="73"/>
      <c r="H42" s="73"/>
    </row>
    <row r="43" spans="1:9" x14ac:dyDescent="0.35">
      <c r="A43" s="68" t="s">
        <v>44</v>
      </c>
      <c r="B43" s="69">
        <f>IF($D43=1,-B5/10,0)</f>
        <v>-20000</v>
      </c>
      <c r="C43" s="70">
        <f t="shared" si="6"/>
        <v>-1.3605442176870748E-2</v>
      </c>
      <c r="D43" s="26">
        <v>1</v>
      </c>
      <c r="E43" s="59" t="s">
        <v>45</v>
      </c>
      <c r="F43" s="74"/>
      <c r="G43" s="74"/>
      <c r="H43" s="74"/>
    </row>
    <row r="44" spans="1:9" ht="13.15" x14ac:dyDescent="0.4">
      <c r="A44" s="71" t="s">
        <v>46</v>
      </c>
      <c r="B44" s="72">
        <f>+B42+B43</f>
        <v>261400</v>
      </c>
      <c r="C44" s="67">
        <f t="shared" si="6"/>
        <v>0.17782312925170068</v>
      </c>
      <c r="F44" s="73"/>
      <c r="G44" s="73"/>
      <c r="H44" s="73"/>
    </row>
    <row r="45" spans="1:9" x14ac:dyDescent="0.35">
      <c r="A45" s="75" t="s">
        <v>47</v>
      </c>
      <c r="B45" s="69">
        <f>IF($D45=1,-B13*D86,0)</f>
        <v>-5000</v>
      </c>
      <c r="C45" s="70">
        <f t="shared" si="6"/>
        <v>-3.4013605442176869E-3</v>
      </c>
      <c r="D45" s="26">
        <v>1</v>
      </c>
      <c r="E45" s="59" t="s">
        <v>48</v>
      </c>
      <c r="F45" s="74"/>
      <c r="G45" s="74"/>
      <c r="H45" s="74"/>
    </row>
    <row r="46" spans="1:9" ht="13.15" x14ac:dyDescent="0.4">
      <c r="A46" s="71" t="s">
        <v>49</v>
      </c>
      <c r="B46" s="72">
        <f>+B44+B45</f>
        <v>256400</v>
      </c>
      <c r="C46" s="67">
        <f t="shared" si="6"/>
        <v>0.17442176870748299</v>
      </c>
      <c r="F46" s="73"/>
      <c r="G46" s="73"/>
      <c r="H46" s="73"/>
    </row>
    <row r="47" spans="1:9" x14ac:dyDescent="0.35">
      <c r="A47" s="68" t="s">
        <v>99</v>
      </c>
      <c r="B47" s="69">
        <f>IF($D47=1,-B46*D87,0)</f>
        <v>-64100</v>
      </c>
      <c r="C47" s="70">
        <f t="shared" si="6"/>
        <v>-4.3605442176870748E-2</v>
      </c>
      <c r="D47" s="26">
        <v>1</v>
      </c>
      <c r="E47" s="59" t="s">
        <v>51</v>
      </c>
      <c r="F47" s="74"/>
      <c r="G47" s="74"/>
      <c r="H47" s="74"/>
    </row>
    <row r="48" spans="1:9" ht="15" x14ac:dyDescent="0.35">
      <c r="A48" s="76" t="s">
        <v>52</v>
      </c>
      <c r="B48" s="77">
        <f>+B46+B47</f>
        <v>192300</v>
      </c>
      <c r="C48" s="78">
        <f t="shared" si="6"/>
        <v>0.13081632653061223</v>
      </c>
      <c r="D48" s="79"/>
      <c r="E48" s="79"/>
      <c r="F48" s="79"/>
      <c r="G48" s="79"/>
      <c r="H48" s="79"/>
    </row>
    <row r="49" spans="1:9" ht="13.15" thickBot="1" x14ac:dyDescent="0.4"/>
    <row r="50" spans="1:9" ht="13.15" thickTop="1" x14ac:dyDescent="0.35">
      <c r="A50" s="303" t="s">
        <v>53</v>
      </c>
      <c r="B50" s="305" t="s">
        <v>54</v>
      </c>
      <c r="C50" s="307" t="s">
        <v>53</v>
      </c>
      <c r="D50" s="235"/>
      <c r="E50" s="235"/>
      <c r="F50" s="235"/>
      <c r="G50" s="235"/>
      <c r="H50" s="235">
        <f>+H49*C40</f>
        <v>0</v>
      </c>
      <c r="I50" s="31"/>
    </row>
    <row r="51" spans="1:9" ht="13.15" thickBot="1" x14ac:dyDescent="0.4">
      <c r="A51" s="304"/>
      <c r="B51" s="306"/>
      <c r="C51" s="308"/>
      <c r="D51" s="235"/>
      <c r="E51" s="235"/>
      <c r="F51" s="235"/>
      <c r="G51" s="235"/>
      <c r="H51" s="235"/>
    </row>
    <row r="52" spans="1:9" ht="13.15" thickTop="1" x14ac:dyDescent="0.35">
      <c r="A52" s="80" t="s">
        <v>55</v>
      </c>
      <c r="B52" s="82">
        <v>0</v>
      </c>
      <c r="C52" s="82">
        <f>+C8</f>
        <v>1370000</v>
      </c>
      <c r="D52" s="236"/>
      <c r="E52" s="236"/>
      <c r="F52" s="236"/>
      <c r="G52" s="236"/>
      <c r="H52" s="236"/>
    </row>
    <row r="53" spans="1:9" x14ac:dyDescent="0.35">
      <c r="A53" s="75" t="s">
        <v>56</v>
      </c>
      <c r="B53" s="84">
        <v>0</v>
      </c>
      <c r="C53" s="84">
        <f>+D8</f>
        <v>-865740</v>
      </c>
      <c r="D53" s="31"/>
      <c r="E53" s="31"/>
      <c r="F53" s="31"/>
      <c r="G53" s="31"/>
      <c r="H53" s="31"/>
    </row>
    <row r="54" spans="1:9" x14ac:dyDescent="0.35">
      <c r="A54" s="68" t="s">
        <v>57</v>
      </c>
      <c r="B54" s="84">
        <v>0</v>
      </c>
      <c r="C54" s="84">
        <f>+B41</f>
        <v>-350000</v>
      </c>
      <c r="D54" s="31"/>
      <c r="E54" s="31"/>
      <c r="F54" s="31"/>
      <c r="G54" s="31"/>
      <c r="H54" s="31"/>
    </row>
    <row r="55" spans="1:9" x14ac:dyDescent="0.35">
      <c r="A55" s="68" t="s">
        <v>58</v>
      </c>
      <c r="B55" s="84"/>
      <c r="C55" s="84">
        <f>+B45</f>
        <v>-5000</v>
      </c>
      <c r="D55" s="31"/>
      <c r="E55" s="31"/>
      <c r="F55" s="31"/>
      <c r="G55" s="31"/>
      <c r="H55" s="31"/>
    </row>
    <row r="56" spans="1:9" ht="13.15" thickBot="1" x14ac:dyDescent="0.4">
      <c r="A56" s="68" t="s">
        <v>100</v>
      </c>
      <c r="B56" s="84"/>
      <c r="C56" s="84">
        <f>+B47</f>
        <v>-64100</v>
      </c>
      <c r="D56" s="31"/>
      <c r="E56" s="31"/>
      <c r="F56" s="31"/>
      <c r="G56" s="31"/>
      <c r="H56" s="31"/>
    </row>
    <row r="57" spans="1:9" ht="13.9" thickTop="1" thickBot="1" x14ac:dyDescent="0.45">
      <c r="A57" s="86" t="s">
        <v>60</v>
      </c>
      <c r="B57" s="87">
        <f>SUM(B52:B56)</f>
        <v>0</v>
      </c>
      <c r="C57" s="87">
        <f>SUM(C52:C56)</f>
        <v>85160</v>
      </c>
      <c r="D57" s="237"/>
      <c r="E57" s="237"/>
      <c r="F57" s="237"/>
      <c r="G57" s="237"/>
      <c r="H57" s="237"/>
    </row>
    <row r="58" spans="1:9" ht="13.15" thickTop="1" x14ac:dyDescent="0.35">
      <c r="A58" s="75" t="s">
        <v>61</v>
      </c>
      <c r="B58" s="57">
        <f>-B5</f>
        <v>-200000</v>
      </c>
      <c r="C58" s="57"/>
      <c r="D58" s="31"/>
      <c r="E58" s="31"/>
      <c r="F58" s="31"/>
      <c r="G58" s="31"/>
      <c r="H58" s="31"/>
    </row>
    <row r="59" spans="1:9" ht="13.15" thickBot="1" x14ac:dyDescent="0.4">
      <c r="A59" s="75"/>
      <c r="B59" s="238"/>
      <c r="C59" s="84">
        <f>SUM(B59:B59)</f>
        <v>0</v>
      </c>
      <c r="D59" s="31"/>
      <c r="E59" s="31"/>
      <c r="F59" s="31"/>
      <c r="G59" s="31"/>
      <c r="H59" s="31"/>
    </row>
    <row r="60" spans="1:9" ht="13.9" thickTop="1" thickBot="1" x14ac:dyDescent="0.45">
      <c r="A60" s="86" t="s">
        <v>62</v>
      </c>
      <c r="B60" s="87">
        <f>+B57+B58</f>
        <v>-200000</v>
      </c>
      <c r="C60" s="87">
        <f>+C58</f>
        <v>0</v>
      </c>
      <c r="D60" s="237"/>
      <c r="E60" s="237"/>
      <c r="F60" s="237"/>
      <c r="G60" s="237"/>
      <c r="H60" s="237"/>
    </row>
    <row r="61" spans="1:9" ht="13.15" thickTop="1" x14ac:dyDescent="0.35">
      <c r="A61" s="68" t="s">
        <v>63</v>
      </c>
      <c r="B61" s="84">
        <f>+B13</f>
        <v>100000</v>
      </c>
      <c r="C61" s="84"/>
      <c r="D61" s="31"/>
      <c r="E61" s="31"/>
      <c r="F61" s="31"/>
      <c r="G61" s="31"/>
      <c r="H61" s="31"/>
    </row>
    <row r="62" spans="1:9" x14ac:dyDescent="0.35">
      <c r="A62" s="68" t="s">
        <v>64</v>
      </c>
      <c r="B62" s="84">
        <f>+B21</f>
        <v>150000</v>
      </c>
      <c r="C62" s="84"/>
      <c r="D62" s="31"/>
      <c r="E62" s="31"/>
      <c r="F62" s="31"/>
      <c r="G62" s="31"/>
      <c r="H62" s="31"/>
    </row>
    <row r="63" spans="1:9" ht="13.15" thickBot="1" x14ac:dyDescent="0.4">
      <c r="A63" s="68" t="s">
        <v>65</v>
      </c>
      <c r="B63" s="84" t="e">
        <f>+#REF!</f>
        <v>#REF!</v>
      </c>
      <c r="C63" s="84">
        <f>IF(B67+C57+C60+C61+C62&lt;0,-(B67+C57+C60+C61+C62),0)</f>
        <v>0</v>
      </c>
      <c r="D63" s="31"/>
      <c r="E63" s="31"/>
      <c r="F63" s="31"/>
      <c r="G63" s="31"/>
      <c r="H63" s="31"/>
    </row>
    <row r="64" spans="1:9" ht="13.9" thickTop="1" thickBot="1" x14ac:dyDescent="0.45">
      <c r="A64" s="239" t="s">
        <v>66</v>
      </c>
      <c r="B64" s="91">
        <f>+B62+B61</f>
        <v>250000</v>
      </c>
      <c r="C64" s="91">
        <f>+C62+C61</f>
        <v>0</v>
      </c>
      <c r="D64" s="240"/>
      <c r="E64" s="240"/>
      <c r="F64" s="240"/>
      <c r="G64" s="240"/>
      <c r="H64" s="240"/>
    </row>
    <row r="65" spans="1:11" ht="15.75" thickTop="1" thickBot="1" x14ac:dyDescent="0.4">
      <c r="A65" s="93" t="s">
        <v>67</v>
      </c>
      <c r="B65" s="241">
        <f>+B57+B60+B64</f>
        <v>50000</v>
      </c>
      <c r="C65" s="241">
        <f>+C57+C60+C64</f>
        <v>85160</v>
      </c>
      <c r="D65" s="242"/>
      <c r="E65" s="242"/>
      <c r="F65" s="242"/>
      <c r="G65" s="242"/>
      <c r="H65" s="242"/>
    </row>
    <row r="66" spans="1:11" ht="13.9" thickTop="1" thickBot="1" x14ac:dyDescent="0.4">
      <c r="A66" s="96" t="s">
        <v>68</v>
      </c>
      <c r="B66" s="84">
        <v>0</v>
      </c>
      <c r="C66" s="97">
        <f>+B67</f>
        <v>50000</v>
      </c>
      <c r="D66" s="231"/>
      <c r="E66" s="231"/>
      <c r="F66" s="231"/>
      <c r="G66" s="231"/>
      <c r="H66" s="231"/>
    </row>
    <row r="67" spans="1:11" ht="13.9" thickTop="1" thickBot="1" x14ac:dyDescent="0.4">
      <c r="A67" s="98" t="s">
        <v>69</v>
      </c>
      <c r="B67" s="99">
        <f>+B65+B66</f>
        <v>50000</v>
      </c>
      <c r="C67" s="99">
        <f>+C65+C66</f>
        <v>135160</v>
      </c>
      <c r="D67" s="243"/>
      <c r="E67" s="243"/>
      <c r="F67" s="243"/>
      <c r="G67" s="243"/>
      <c r="H67" s="243"/>
    </row>
    <row r="68" spans="1:11" ht="13.15" thickTop="1" x14ac:dyDescent="0.35"/>
    <row r="71" spans="1:11" ht="15" x14ac:dyDescent="0.4">
      <c r="A71" s="393" t="s">
        <v>74</v>
      </c>
      <c r="B71" s="393"/>
      <c r="C71" s="393"/>
      <c r="D71" s="393"/>
      <c r="E71" s="31"/>
      <c r="F71" s="31"/>
      <c r="G71" s="31"/>
      <c r="H71" s="31"/>
      <c r="I71" s="31"/>
    </row>
    <row r="72" spans="1:11" ht="13.15" x14ac:dyDescent="0.4">
      <c r="A72" s="184"/>
      <c r="B72" s="185" t="s">
        <v>75</v>
      </c>
      <c r="C72" s="186" t="s">
        <v>76</v>
      </c>
      <c r="D72" s="186" t="s">
        <v>77</v>
      </c>
    </row>
    <row r="73" spans="1:11" ht="13.15" x14ac:dyDescent="0.4">
      <c r="A73" s="187" t="s">
        <v>78</v>
      </c>
      <c r="B73" s="188"/>
      <c r="C73" s="189"/>
      <c r="D73" s="189"/>
      <c r="E73" s="31"/>
      <c r="F73" s="31"/>
      <c r="G73" s="190"/>
    </row>
    <row r="74" spans="1:11" ht="13.15" x14ac:dyDescent="0.4">
      <c r="A74" s="191"/>
      <c r="B74" s="192"/>
      <c r="C74" s="193"/>
      <c r="D74" s="193"/>
    </row>
    <row r="75" spans="1:11" x14ac:dyDescent="0.35">
      <c r="A75" s="194" t="s">
        <v>79</v>
      </c>
      <c r="B75" s="195">
        <f>+'[2]Complementos de mujer'!B30</f>
        <v>1400000</v>
      </c>
      <c r="C75" s="198">
        <v>1</v>
      </c>
      <c r="D75" s="195">
        <f>+B75*C75</f>
        <v>1400000</v>
      </c>
      <c r="E75" s="31"/>
    </row>
    <row r="76" spans="1:11" x14ac:dyDescent="0.35">
      <c r="A76" s="194" t="s">
        <v>80</v>
      </c>
      <c r="B76" s="197"/>
      <c r="C76" s="198"/>
      <c r="D76" s="197">
        <f>+C76*B76</f>
        <v>0</v>
      </c>
      <c r="F76" s="313"/>
      <c r="G76" s="315" t="s">
        <v>21</v>
      </c>
      <c r="H76" s="394" t="s">
        <v>22</v>
      </c>
      <c r="I76" s="394"/>
      <c r="J76" s="394"/>
      <c r="K76" s="394"/>
    </row>
    <row r="77" spans="1:11" x14ac:dyDescent="0.35">
      <c r="A77" s="199" t="s">
        <v>81</v>
      </c>
      <c r="B77" s="197">
        <f>+'[2]Complementos de mujer'!C31</f>
        <v>0.35</v>
      </c>
      <c r="C77" s="198">
        <v>1</v>
      </c>
      <c r="D77" s="197">
        <f>+B77*C77</f>
        <v>0.35</v>
      </c>
      <c r="F77" s="314"/>
      <c r="G77" s="316"/>
      <c r="H77" s="283" t="str">
        <f>+'[2]Complementos de mujer'!C29</f>
        <v>BOLSOS</v>
      </c>
      <c r="I77" s="283" t="str">
        <f>+'[2]Complementos de mujer'!D29</f>
        <v>ZAPATERIA</v>
      </c>
      <c r="J77" s="283" t="str">
        <f>+'[2]Complementos de mujer'!E29</f>
        <v>JOYERIA</v>
      </c>
      <c r="K77" s="283" t="s">
        <v>26</v>
      </c>
    </row>
    <row r="78" spans="1:11" ht="13.15" x14ac:dyDescent="0.4">
      <c r="A78" s="194" t="s">
        <v>82</v>
      </c>
      <c r="B78" s="197">
        <f>+'[2]Complementos de mujer'!D31</f>
        <v>0.45</v>
      </c>
      <c r="C78" s="198">
        <v>1</v>
      </c>
      <c r="D78" s="197">
        <f>+B78*C78</f>
        <v>0.45</v>
      </c>
      <c r="F78" s="36" t="s">
        <v>27</v>
      </c>
      <c r="G78" s="38">
        <v>1400000</v>
      </c>
      <c r="H78" s="38">
        <f>+$G$78*H79</f>
        <v>489999.99999999994</v>
      </c>
      <c r="I78" s="38">
        <f>+$G$78*I79</f>
        <v>630000</v>
      </c>
      <c r="J78" s="38">
        <f>+$G$78*J79</f>
        <v>70000</v>
      </c>
      <c r="K78" s="39">
        <v>210000</v>
      </c>
    </row>
    <row r="79" spans="1:11" x14ac:dyDescent="0.35">
      <c r="A79" s="194" t="s">
        <v>83</v>
      </c>
      <c r="B79" s="197">
        <f>+'[2]Complementos de mujer'!E31</f>
        <v>0.05</v>
      </c>
      <c r="C79" s="198">
        <v>1</v>
      </c>
      <c r="D79" s="197">
        <f>+B79*C79</f>
        <v>0.05</v>
      </c>
      <c r="F79" s="40" t="s">
        <v>28</v>
      </c>
      <c r="G79" s="41">
        <f>SUM(H79:K79)</f>
        <v>1</v>
      </c>
      <c r="H79" s="201">
        <f>+D77</f>
        <v>0.35</v>
      </c>
      <c r="I79" s="201">
        <f>+D78</f>
        <v>0.45</v>
      </c>
      <c r="J79" s="201">
        <f>+D79</f>
        <v>0.05</v>
      </c>
      <c r="K79" s="201">
        <f>1-H79-I79-J79</f>
        <v>0.15000000000000002</v>
      </c>
    </row>
    <row r="80" spans="1:11" x14ac:dyDescent="0.35">
      <c r="A80" s="194" t="s">
        <v>84</v>
      </c>
      <c r="B80" s="197">
        <f>+'[2]Complementos de mujer'!F31</f>
        <v>0.15000000000000002</v>
      </c>
      <c r="C80" s="198"/>
      <c r="D80" s="197">
        <f>1-D79-D78-D77</f>
        <v>0.14999999999999997</v>
      </c>
      <c r="F80" s="44" t="s">
        <v>29</v>
      </c>
      <c r="G80" s="202">
        <f>-SUM(H80:K80)</f>
        <v>-838600</v>
      </c>
      <c r="H80" s="46">
        <f>+H78*(1-H82)</f>
        <v>284200</v>
      </c>
      <c r="I80" s="46">
        <f>+I78*(1-I82)</f>
        <v>384300</v>
      </c>
      <c r="J80" s="46">
        <f>+J78*(1-J82)</f>
        <v>23099.999999999996</v>
      </c>
      <c r="K80" s="46">
        <f>+K78*(1-K82)</f>
        <v>147000</v>
      </c>
    </row>
    <row r="81" spans="1:11" ht="13.15" x14ac:dyDescent="0.4">
      <c r="A81" s="203" t="s">
        <v>85</v>
      </c>
      <c r="B81" s="204">
        <f>+'[2]Complementos de mujer'!B34</f>
        <v>0.40100000000000002</v>
      </c>
      <c r="C81" s="205">
        <f>+D81/B81</f>
        <v>1</v>
      </c>
      <c r="D81" s="204">
        <f>+G82</f>
        <v>0.40100000000000002</v>
      </c>
      <c r="E81" s="31"/>
      <c r="F81" s="47" t="s">
        <v>30</v>
      </c>
      <c r="G81" s="48">
        <f>SUM(H81:K81)</f>
        <v>561400</v>
      </c>
      <c r="H81" s="49">
        <f>+H78-H80</f>
        <v>205799.99999999994</v>
      </c>
      <c r="I81" s="49">
        <f>+I78-I80</f>
        <v>245700</v>
      </c>
      <c r="J81" s="49">
        <f>+J78-J80</f>
        <v>46900</v>
      </c>
      <c r="K81" s="49">
        <f>+K78-K80</f>
        <v>63000</v>
      </c>
    </row>
    <row r="82" spans="1:11" ht="13.15" x14ac:dyDescent="0.4">
      <c r="A82" s="194"/>
      <c r="B82" s="197"/>
      <c r="C82" s="198"/>
      <c r="D82" s="197"/>
      <c r="F82" s="50" t="s">
        <v>31</v>
      </c>
      <c r="G82" s="51">
        <f>+G81/G78</f>
        <v>0.40100000000000002</v>
      </c>
      <c r="H82" s="52">
        <f>+'[2]Complementos de mujer'!C34</f>
        <v>0.42</v>
      </c>
      <c r="I82" s="52">
        <f>+'[2]Complementos de mujer'!D34</f>
        <v>0.39</v>
      </c>
      <c r="J82" s="52">
        <f>+'[2]Complementos de mujer'!E34</f>
        <v>0.67</v>
      </c>
      <c r="K82" s="53">
        <f>+'[2]Complementos de mujer'!F34</f>
        <v>0.3</v>
      </c>
    </row>
    <row r="83" spans="1:11" ht="13.15" x14ac:dyDescent="0.4">
      <c r="A83" s="187" t="s">
        <v>86</v>
      </c>
      <c r="B83" s="206"/>
      <c r="C83" s="214"/>
      <c r="D83" s="206"/>
      <c r="F83" s="208"/>
      <c r="G83" s="209"/>
      <c r="H83" s="210"/>
      <c r="I83" s="210"/>
      <c r="J83" s="210"/>
      <c r="K83" s="211"/>
    </row>
    <row r="84" spans="1:11" ht="13.15" x14ac:dyDescent="0.4">
      <c r="A84" s="191"/>
      <c r="B84" s="197"/>
      <c r="C84" s="198"/>
      <c r="D84" s="197"/>
      <c r="F84" s="208"/>
      <c r="G84" s="209"/>
      <c r="H84" s="210"/>
      <c r="I84" s="210"/>
      <c r="J84" s="210"/>
      <c r="K84" s="211"/>
    </row>
    <row r="85" spans="1:11" x14ac:dyDescent="0.35">
      <c r="A85" s="194" t="s">
        <v>87</v>
      </c>
      <c r="B85" s="195">
        <f>-'[2]Complementos de mujer'!B42</f>
        <v>350000</v>
      </c>
      <c r="C85" s="198">
        <v>1</v>
      </c>
      <c r="D85" s="195">
        <f>+B85*C85</f>
        <v>350000</v>
      </c>
      <c r="E85" s="31"/>
      <c r="F85" s="31"/>
      <c r="G85" s="190"/>
    </row>
    <row r="86" spans="1:11" x14ac:dyDescent="0.35">
      <c r="A86" s="194" t="s">
        <v>88</v>
      </c>
      <c r="B86" s="197">
        <v>0.05</v>
      </c>
      <c r="C86" s="198">
        <v>1</v>
      </c>
      <c r="D86" s="197">
        <f>+B86*C86</f>
        <v>0.05</v>
      </c>
      <c r="E86" s="31"/>
      <c r="F86" s="190"/>
    </row>
    <row r="87" spans="1:11" x14ac:dyDescent="0.35">
      <c r="A87" s="194" t="s">
        <v>89</v>
      </c>
      <c r="B87" s="197">
        <v>0.25</v>
      </c>
      <c r="C87" s="198">
        <v>1</v>
      </c>
      <c r="D87" s="197">
        <f>+B87*C87</f>
        <v>0.25</v>
      </c>
      <c r="E87" s="31"/>
      <c r="F87" s="190"/>
    </row>
    <row r="88" spans="1:11" x14ac:dyDescent="0.35">
      <c r="A88" s="194"/>
      <c r="B88" s="197"/>
      <c r="C88" s="198"/>
      <c r="D88" s="197"/>
      <c r="F88" s="190"/>
    </row>
    <row r="89" spans="1:11" ht="13.15" x14ac:dyDescent="0.4">
      <c r="A89" s="187" t="s">
        <v>90</v>
      </c>
      <c r="B89" s="206"/>
      <c r="C89" s="214"/>
      <c r="D89" s="206"/>
      <c r="F89" s="190"/>
    </row>
    <row r="90" spans="1:11" ht="13.15" x14ac:dyDescent="0.4">
      <c r="A90" s="212"/>
      <c r="B90" s="213"/>
      <c r="C90" s="214"/>
      <c r="D90" s="213"/>
      <c r="F90" s="190"/>
    </row>
    <row r="91" spans="1:11" x14ac:dyDescent="0.35">
      <c r="A91" s="194" t="s">
        <v>91</v>
      </c>
      <c r="B91" s="195">
        <v>15</v>
      </c>
      <c r="C91" s="198">
        <v>1</v>
      </c>
      <c r="D91" s="215">
        <f>+B91*C91</f>
        <v>15</v>
      </c>
      <c r="E91" s="31"/>
      <c r="F91" s="31"/>
      <c r="G91" s="190"/>
    </row>
    <row r="92" spans="1:11" x14ac:dyDescent="0.35">
      <c r="A92" s="194" t="s">
        <v>92</v>
      </c>
      <c r="B92" s="195">
        <v>15</v>
      </c>
      <c r="C92" s="198">
        <v>1</v>
      </c>
      <c r="D92" s="215">
        <f>+B92*C92</f>
        <v>15</v>
      </c>
      <c r="E92" s="31"/>
      <c r="F92" s="31"/>
      <c r="G92" s="190"/>
    </row>
    <row r="93" spans="1:11" x14ac:dyDescent="0.35">
      <c r="A93" s="194" t="s">
        <v>93</v>
      </c>
      <c r="B93" s="195">
        <v>30</v>
      </c>
      <c r="C93" s="198">
        <v>1</v>
      </c>
      <c r="D93" s="195">
        <f>+C93*B93</f>
        <v>30</v>
      </c>
      <c r="E93" s="31"/>
      <c r="F93" s="31"/>
      <c r="G93" s="190"/>
    </row>
    <row r="94" spans="1:11" x14ac:dyDescent="0.35">
      <c r="B94" s="31"/>
      <c r="C94" s="215"/>
      <c r="F94" s="190"/>
    </row>
    <row r="95" spans="1:11" x14ac:dyDescent="0.35">
      <c r="A95" s="194" t="s">
        <v>94</v>
      </c>
      <c r="B95" s="31"/>
      <c r="C95" s="215"/>
      <c r="D95" s="195">
        <f>-(+B39+(B39/360)*D93)</f>
        <v>908483.33333333337</v>
      </c>
      <c r="F95" s="190"/>
    </row>
    <row r="96" spans="1:11" x14ac:dyDescent="0.35">
      <c r="C96" s="215"/>
      <c r="F96" s="190"/>
    </row>
    <row r="97" spans="1:6" ht="13.15" x14ac:dyDescent="0.4">
      <c r="A97" s="187" t="s">
        <v>95</v>
      </c>
      <c r="B97" s="206"/>
      <c r="C97" s="214"/>
      <c r="D97" s="206"/>
      <c r="F97" s="190"/>
    </row>
    <row r="98" spans="1:6" ht="13.15" x14ac:dyDescent="0.4">
      <c r="A98" s="212"/>
      <c r="B98" s="213"/>
      <c r="C98" s="214"/>
      <c r="D98" s="213"/>
      <c r="F98" s="190"/>
    </row>
    <row r="99" spans="1:6" x14ac:dyDescent="0.35">
      <c r="A99" s="194" t="s">
        <v>96</v>
      </c>
      <c r="B99" s="195">
        <f>+'[2]Complementos de mujer'!B5</f>
        <v>200000</v>
      </c>
      <c r="C99" s="198">
        <v>1</v>
      </c>
      <c r="D99" s="195">
        <f>+B99*C99</f>
        <v>200000</v>
      </c>
      <c r="E99" s="31"/>
      <c r="F99" s="190"/>
    </row>
    <row r="100" spans="1:6" x14ac:dyDescent="0.35">
      <c r="A100" s="194" t="s">
        <v>97</v>
      </c>
      <c r="B100" s="195">
        <f>+'[2]Complementos de mujer'!B13</f>
        <v>100000</v>
      </c>
      <c r="C100" s="198">
        <v>1</v>
      </c>
      <c r="D100" s="195">
        <f>+B100*C100</f>
        <v>100000</v>
      </c>
      <c r="E100" s="31"/>
      <c r="F100" s="190"/>
    </row>
    <row r="101" spans="1:6" x14ac:dyDescent="0.35">
      <c r="A101" s="194" t="s">
        <v>98</v>
      </c>
      <c r="B101" s="195">
        <f>+'[2]Complementos de mujer'!B22</f>
        <v>150000</v>
      </c>
      <c r="C101" s="198">
        <v>1</v>
      </c>
      <c r="D101" s="195">
        <f>+B101*C101</f>
        <v>150000</v>
      </c>
      <c r="E101" s="31"/>
      <c r="F101" s="190"/>
    </row>
    <row r="102" spans="1:6" x14ac:dyDescent="0.35">
      <c r="F102" s="190"/>
    </row>
    <row r="103" spans="1:6" ht="13.15" thickBot="1" x14ac:dyDescent="0.4">
      <c r="F103" s="190"/>
    </row>
    <row r="104" spans="1:6" ht="18" thickTop="1" thickBot="1" x14ac:dyDescent="0.5">
      <c r="A104" s="244" t="s">
        <v>101</v>
      </c>
      <c r="B104" s="245"/>
      <c r="C104" s="246" t="s">
        <v>102</v>
      </c>
      <c r="F104" s="190"/>
    </row>
    <row r="105" spans="1:6" ht="14.25" thickTop="1" thickBot="1" x14ac:dyDescent="0.4">
      <c r="A105" s="247" t="s">
        <v>103</v>
      </c>
      <c r="B105" s="248"/>
      <c r="C105" s="249">
        <v>37000</v>
      </c>
    </row>
    <row r="106" spans="1:6" ht="14.25" thickTop="1" thickBot="1" x14ac:dyDescent="0.4">
      <c r="A106" s="250" t="s">
        <v>104</v>
      </c>
      <c r="B106" s="251"/>
      <c r="C106" s="252">
        <v>8.8999999999999996E-2</v>
      </c>
    </row>
    <row r="107" spans="1:6" ht="14.25" thickTop="1" thickBot="1" x14ac:dyDescent="0.4">
      <c r="A107" s="247" t="s">
        <v>105</v>
      </c>
      <c r="B107" s="248"/>
      <c r="C107" s="249">
        <v>415730.3370786517</v>
      </c>
    </row>
    <row r="108" spans="1:6" ht="14.25" thickTop="1" thickBot="1" x14ac:dyDescent="0.4">
      <c r="A108" s="253" t="s">
        <v>106</v>
      </c>
      <c r="B108" s="251"/>
      <c r="C108" s="252">
        <v>0.46701238836070297</v>
      </c>
    </row>
    <row r="109" spans="1:6" ht="14.25" thickTop="1" thickBot="1" x14ac:dyDescent="0.4">
      <c r="A109" s="247" t="s">
        <v>20</v>
      </c>
      <c r="B109" s="248"/>
      <c r="C109" s="249">
        <v>0</v>
      </c>
    </row>
    <row r="110" spans="1:6" ht="13.15" thickTop="1" x14ac:dyDescent="0.35">
      <c r="A110" s="59"/>
      <c r="B110" s="254"/>
      <c r="C110" s="255"/>
    </row>
    <row r="111" spans="1:6" ht="17.649999999999999" thickBot="1" x14ac:dyDescent="0.5">
      <c r="A111" s="256" t="s">
        <v>107</v>
      </c>
      <c r="B111" s="257"/>
      <c r="C111" s="258"/>
    </row>
    <row r="112" spans="1:6" ht="13.5" thickTop="1" thickBot="1" x14ac:dyDescent="0.4">
      <c r="A112" s="259"/>
      <c r="B112" s="260"/>
      <c r="C112" s="261"/>
    </row>
    <row r="113" spans="1:3" ht="14.65" thickTop="1" thickBot="1" x14ac:dyDescent="0.45">
      <c r="A113" s="262" t="s">
        <v>108</v>
      </c>
      <c r="B113" s="263"/>
      <c r="C113" s="291">
        <f>+B44/I9</f>
        <v>0.55104084321475622</v>
      </c>
    </row>
    <row r="114" spans="1:3" ht="13.5" thickTop="1" thickBot="1" x14ac:dyDescent="0.4">
      <c r="A114" s="265" t="s">
        <v>109</v>
      </c>
      <c r="B114" s="266"/>
      <c r="C114" s="267">
        <f>+B44/B37</f>
        <v>0.17782312925170068</v>
      </c>
    </row>
    <row r="115" spans="1:3" ht="13.5" thickTop="1" thickBot="1" x14ac:dyDescent="0.4">
      <c r="A115" s="268" t="s">
        <v>110</v>
      </c>
      <c r="B115" s="269"/>
      <c r="C115" s="270">
        <f>+B37/I9</f>
        <v>3.0988142292490117</v>
      </c>
    </row>
    <row r="116" spans="1:3" ht="13.5" thickTop="1" thickBot="1" x14ac:dyDescent="0.4">
      <c r="A116" s="265" t="s">
        <v>111</v>
      </c>
      <c r="B116" s="266"/>
      <c r="C116" s="271">
        <f>+C114*C115</f>
        <v>0.55104084321475622</v>
      </c>
    </row>
    <row r="117" spans="1:3" ht="13.5" thickTop="1" thickBot="1" x14ac:dyDescent="0.4">
      <c r="C117" s="261"/>
    </row>
    <row r="118" spans="1:3" ht="14.65" thickTop="1" thickBot="1" x14ac:dyDescent="0.45">
      <c r="A118" s="262" t="s">
        <v>112</v>
      </c>
      <c r="B118" s="263"/>
      <c r="C118" s="272">
        <f>+B48/I23</f>
        <v>0.5617879053461875</v>
      </c>
    </row>
    <row r="119" spans="1:3" ht="14.65" thickTop="1" thickBot="1" x14ac:dyDescent="0.45">
      <c r="A119" s="273" t="s">
        <v>113</v>
      </c>
      <c r="B119" s="274"/>
      <c r="C119" s="275">
        <v>1.1883600136661402E-2</v>
      </c>
    </row>
    <row r="120" spans="1:3" ht="14.65" thickTop="1" thickBot="1" x14ac:dyDescent="0.45">
      <c r="A120" s="276" t="s">
        <v>114</v>
      </c>
      <c r="B120" s="277"/>
      <c r="C120" s="278">
        <v>0.36502831666059504</v>
      </c>
    </row>
    <row r="121" spans="1:3" ht="14.65" thickTop="1" thickBot="1" x14ac:dyDescent="0.45">
      <c r="A121" s="273" t="s">
        <v>115</v>
      </c>
      <c r="B121" s="274"/>
      <c r="C121" s="279">
        <v>0.95755101653770291</v>
      </c>
    </row>
    <row r="122" spans="1:3" ht="14.65" thickTop="1" thickBot="1" x14ac:dyDescent="0.45">
      <c r="A122" s="276" t="s">
        <v>116</v>
      </c>
      <c r="B122" s="277"/>
      <c r="C122" s="278">
        <v>0.75</v>
      </c>
    </row>
    <row r="123" spans="1:3" ht="14.65" thickTop="1" thickBot="1" x14ac:dyDescent="0.45">
      <c r="A123" s="273" t="s">
        <v>20</v>
      </c>
      <c r="B123" s="274"/>
      <c r="C123" s="275">
        <v>0.54483386436049175</v>
      </c>
    </row>
    <row r="124" spans="1:3" ht="13.15" thickTop="1" x14ac:dyDescent="0.35"/>
  </sheetData>
  <mergeCells count="39">
    <mergeCell ref="A1:I1"/>
    <mergeCell ref="A2:I2"/>
    <mergeCell ref="A3:A4"/>
    <mergeCell ref="B3:B4"/>
    <mergeCell ref="C3:C4"/>
    <mergeCell ref="D3:D4"/>
    <mergeCell ref="E3:E4"/>
    <mergeCell ref="F3:F4"/>
    <mergeCell ref="G3:G4"/>
    <mergeCell ref="H3:H4"/>
    <mergeCell ref="I3:I4"/>
    <mergeCell ref="A11:A12"/>
    <mergeCell ref="B11:B12"/>
    <mergeCell ref="C11:C12"/>
    <mergeCell ref="D11:D12"/>
    <mergeCell ref="E11:E12"/>
    <mergeCell ref="F11:F12"/>
    <mergeCell ref="G11:G12"/>
    <mergeCell ref="H11:H12"/>
    <mergeCell ref="I11:I12"/>
    <mergeCell ref="G19:G20"/>
    <mergeCell ref="H19:H20"/>
    <mergeCell ref="I19:I20"/>
    <mergeCell ref="D19:D20"/>
    <mergeCell ref="E19:E20"/>
    <mergeCell ref="F19:F20"/>
    <mergeCell ref="H76:K76"/>
    <mergeCell ref="A50:A51"/>
    <mergeCell ref="B50:B51"/>
    <mergeCell ref="C50:C51"/>
    <mergeCell ref="A71:D71"/>
    <mergeCell ref="F76:F77"/>
    <mergeCell ref="G76:G77"/>
    <mergeCell ref="A35:A36"/>
    <mergeCell ref="B35:B36"/>
    <mergeCell ref="C35:C36"/>
    <mergeCell ref="A19:A20"/>
    <mergeCell ref="B19:B20"/>
    <mergeCell ref="C19:C20"/>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C1F55A-A441-40B2-88E2-6EFA74171EDF}">
  <dimension ref="A1:K124"/>
  <sheetViews>
    <sheetView topLeftCell="A74" workbookViewId="0">
      <selection activeCell="L88" sqref="L88"/>
    </sheetView>
  </sheetViews>
  <sheetFormatPr baseColWidth="10" defaultRowHeight="12.75" x14ac:dyDescent="0.35"/>
  <cols>
    <col min="1" max="3" width="16.19921875" customWidth="1"/>
    <col min="6" max="6" width="20.265625" customWidth="1"/>
  </cols>
  <sheetData>
    <row r="1" spans="1:9" ht="151.9" customHeight="1" thickBot="1" x14ac:dyDescent="0.4">
      <c r="A1" s="395" t="s">
        <v>127</v>
      </c>
      <c r="B1" s="396"/>
      <c r="C1" s="396"/>
      <c r="D1" s="396"/>
      <c r="E1" s="396"/>
      <c r="F1" s="396"/>
      <c r="G1" s="396"/>
      <c r="H1" s="396"/>
      <c r="I1" s="396"/>
    </row>
    <row r="2" spans="1:9" ht="18" thickTop="1" thickBot="1" x14ac:dyDescent="0.5">
      <c r="A2" s="336" t="s">
        <v>0</v>
      </c>
      <c r="B2" s="337"/>
      <c r="C2" s="337"/>
      <c r="D2" s="337"/>
      <c r="E2" s="337"/>
      <c r="F2" s="337"/>
      <c r="G2" s="337"/>
      <c r="H2" s="337"/>
      <c r="I2" s="338"/>
    </row>
    <row r="3" spans="1:9" ht="13.15" thickTop="1" x14ac:dyDescent="0.35">
      <c r="A3" s="339" t="s">
        <v>1</v>
      </c>
      <c r="B3" s="341" t="s">
        <v>2</v>
      </c>
      <c r="C3" s="343">
        <v>1</v>
      </c>
      <c r="D3" s="343">
        <f>+C3+1</f>
        <v>2</v>
      </c>
      <c r="E3" s="343">
        <f>+D3+1</f>
        <v>3</v>
      </c>
      <c r="F3" s="343">
        <f>+E3+1</f>
        <v>4</v>
      </c>
      <c r="G3" s="343">
        <f>+F3+1</f>
        <v>5</v>
      </c>
      <c r="H3" s="343">
        <f>+G3+1</f>
        <v>6</v>
      </c>
      <c r="I3" s="345" t="s">
        <v>3</v>
      </c>
    </row>
    <row r="4" spans="1:9" ht="13.15" thickBot="1" x14ac:dyDescent="0.4">
      <c r="A4" s="340"/>
      <c r="B4" s="342"/>
      <c r="C4" s="344"/>
      <c r="D4" s="344"/>
      <c r="E4" s="344"/>
      <c r="F4" s="344"/>
      <c r="G4" s="344"/>
      <c r="H4" s="344"/>
      <c r="I4" s="346"/>
    </row>
    <row r="5" spans="1:9" ht="13.15" thickTop="1" x14ac:dyDescent="0.35">
      <c r="A5" s="2" t="str">
        <f>+'[2]Complementos de mujer'!A5</f>
        <v>Canon</v>
      </c>
      <c r="B5" s="57">
        <f>IF(B$24=0,0,D99)</f>
        <v>200000</v>
      </c>
      <c r="C5" s="216"/>
      <c r="D5" s="217"/>
      <c r="E5" s="217"/>
      <c r="F5" s="218">
        <f>IF($D$43=1,B43,0)</f>
        <v>-20000</v>
      </c>
      <c r="G5" s="217"/>
      <c r="H5" s="219"/>
      <c r="I5" s="57">
        <f>SUM(B5:H5)</f>
        <v>180000</v>
      </c>
    </row>
    <row r="6" spans="1:9" x14ac:dyDescent="0.35">
      <c r="A6" s="2" t="s">
        <v>5</v>
      </c>
      <c r="B6" s="84">
        <v>0</v>
      </c>
      <c r="C6" s="216"/>
      <c r="D6" s="218">
        <v>59215</v>
      </c>
      <c r="E6" s="218"/>
      <c r="F6" s="218"/>
      <c r="G6" s="218"/>
      <c r="H6" s="220"/>
      <c r="I6" s="84">
        <f>SUM(B6:H6)</f>
        <v>59215</v>
      </c>
    </row>
    <row r="7" spans="1:9" x14ac:dyDescent="0.35">
      <c r="A7" s="2" t="s">
        <v>6</v>
      </c>
      <c r="B7" s="84">
        <v>0</v>
      </c>
      <c r="C7" s="216">
        <v>100000</v>
      </c>
      <c r="D7" s="218"/>
      <c r="E7" s="218"/>
      <c r="F7" s="218"/>
      <c r="G7" s="218"/>
      <c r="H7" s="220"/>
      <c r="I7" s="84">
        <f>SUM(B7:H7)</f>
        <v>100000</v>
      </c>
    </row>
    <row r="8" spans="1:9" ht="13.15" thickBot="1" x14ac:dyDescent="0.4">
      <c r="A8" s="2" t="s">
        <v>7</v>
      </c>
      <c r="B8" s="84">
        <f>IF(B$24=0,0,B21+B13-B5)</f>
        <v>50000</v>
      </c>
      <c r="C8" s="216">
        <f>IF($D$37=1,B38-C7,0)</f>
        <v>1300000</v>
      </c>
      <c r="D8" s="218">
        <v>-865740</v>
      </c>
      <c r="E8" s="218">
        <f>IF($D$41=1,C54,0)</f>
        <v>-350000</v>
      </c>
      <c r="G8" s="218">
        <f>IF($D$45=1,C55,0)</f>
        <v>-5000</v>
      </c>
      <c r="H8" s="220">
        <f>IF($D$47=1,C56,0)</f>
        <v>-59725</v>
      </c>
      <c r="I8" s="84">
        <f>SUM(B8:H8)</f>
        <v>69535</v>
      </c>
    </row>
    <row r="9" spans="1:9" ht="15.75" thickTop="1" thickBot="1" x14ac:dyDescent="0.4">
      <c r="A9" s="8" t="s">
        <v>8</v>
      </c>
      <c r="B9" s="9">
        <f t="shared" ref="B9:I9" si="0">SUM(B5:B8)</f>
        <v>250000</v>
      </c>
      <c r="C9" s="221">
        <f t="shared" si="0"/>
        <v>1400000</v>
      </c>
      <c r="D9" s="10">
        <f t="shared" si="0"/>
        <v>-806525</v>
      </c>
      <c r="E9" s="10">
        <f t="shared" si="0"/>
        <v>-350000</v>
      </c>
      <c r="F9" s="10">
        <f t="shared" si="0"/>
        <v>-20000</v>
      </c>
      <c r="G9" s="10">
        <f t="shared" si="0"/>
        <v>-5000</v>
      </c>
      <c r="H9" s="10">
        <f t="shared" si="0"/>
        <v>-59725</v>
      </c>
      <c r="I9" s="9">
        <f t="shared" si="0"/>
        <v>408750</v>
      </c>
    </row>
    <row r="10" spans="1:9" ht="15.75" thickTop="1" thickBot="1" x14ac:dyDescent="0.4">
      <c r="A10" s="11"/>
      <c r="B10" s="12"/>
      <c r="C10" s="12"/>
      <c r="D10" s="12"/>
      <c r="E10" s="12"/>
      <c r="F10" s="12"/>
      <c r="G10" s="12"/>
      <c r="H10" s="12"/>
      <c r="I10" s="222"/>
    </row>
    <row r="11" spans="1:9" ht="13.15" thickTop="1" x14ac:dyDescent="0.35">
      <c r="A11" s="332" t="s">
        <v>9</v>
      </c>
      <c r="B11" s="326" t="str">
        <f t="shared" ref="B11:I11" si="1">+B3</f>
        <v>BALANCE INICIAL</v>
      </c>
      <c r="C11" s="334">
        <f t="shared" si="1"/>
        <v>1</v>
      </c>
      <c r="D11" s="324">
        <f t="shared" si="1"/>
        <v>2</v>
      </c>
      <c r="E11" s="324">
        <f t="shared" si="1"/>
        <v>3</v>
      </c>
      <c r="F11" s="324">
        <f t="shared" si="1"/>
        <v>4</v>
      </c>
      <c r="G11" s="324">
        <f t="shared" si="1"/>
        <v>5</v>
      </c>
      <c r="H11" s="387">
        <f t="shared" si="1"/>
        <v>6</v>
      </c>
      <c r="I11" s="326" t="str">
        <f t="shared" si="1"/>
        <v>BALANCE FINAL</v>
      </c>
    </row>
    <row r="12" spans="1:9" ht="13.15" thickBot="1" x14ac:dyDescent="0.4">
      <c r="A12" s="333"/>
      <c r="B12" s="327"/>
      <c r="C12" s="335"/>
      <c r="D12" s="325"/>
      <c r="E12" s="325"/>
      <c r="F12" s="325"/>
      <c r="G12" s="325"/>
      <c r="H12" s="388"/>
      <c r="I12" s="327"/>
    </row>
    <row r="13" spans="1:9" ht="13.15" thickTop="1" x14ac:dyDescent="0.35">
      <c r="A13" s="14" t="s">
        <v>10</v>
      </c>
      <c r="B13" s="57">
        <f>IF(B$24=0,0,D100)</f>
        <v>100000</v>
      </c>
      <c r="C13" s="223"/>
      <c r="D13" s="217"/>
      <c r="E13" s="217"/>
      <c r="F13" s="217"/>
      <c r="G13" s="217"/>
      <c r="H13" s="219"/>
      <c r="I13" s="84">
        <f>SUM(B13:H13)</f>
        <v>100000</v>
      </c>
    </row>
    <row r="14" spans="1:9" x14ac:dyDescent="0.35">
      <c r="A14" s="2" t="s">
        <v>11</v>
      </c>
      <c r="B14" s="84"/>
      <c r="C14" s="216"/>
      <c r="D14" s="218">
        <v>32075</v>
      </c>
      <c r="E14" s="218"/>
      <c r="F14" s="218"/>
      <c r="G14" s="218"/>
      <c r="H14" s="220"/>
      <c r="I14" s="84">
        <f>SUM(B14:H14)</f>
        <v>32075</v>
      </c>
    </row>
    <row r="15" spans="1:9" x14ac:dyDescent="0.35">
      <c r="A15" s="2" t="s">
        <v>12</v>
      </c>
      <c r="B15" s="84"/>
      <c r="C15" s="216"/>
      <c r="D15" s="218"/>
      <c r="E15" s="218"/>
      <c r="F15" s="218"/>
      <c r="G15" s="218"/>
      <c r="H15" s="220"/>
      <c r="I15" s="84">
        <f>SUM(B15:H15)</f>
        <v>0</v>
      </c>
    </row>
    <row r="16" spans="1:9" ht="13.15" thickBot="1" x14ac:dyDescent="0.4">
      <c r="A16" s="2" t="s">
        <v>13</v>
      </c>
      <c r="B16" s="84"/>
      <c r="C16" s="216"/>
      <c r="D16" s="218"/>
      <c r="E16" s="218"/>
      <c r="F16" s="218"/>
      <c r="G16" s="218"/>
      <c r="H16" s="220"/>
      <c r="I16" s="84">
        <f>SUM(B16:H16)</f>
        <v>0</v>
      </c>
    </row>
    <row r="17" spans="1:11" ht="13.9" thickTop="1" thickBot="1" x14ac:dyDescent="0.45">
      <c r="A17" s="17" t="s">
        <v>15</v>
      </c>
      <c r="B17" s="18">
        <f t="shared" ref="B17:I17" si="2">SUM(B13:B16)</f>
        <v>100000</v>
      </c>
      <c r="C17" s="224">
        <f t="shared" si="2"/>
        <v>0</v>
      </c>
      <c r="D17" s="18">
        <f t="shared" si="2"/>
        <v>32075</v>
      </c>
      <c r="E17" s="18">
        <f t="shared" si="2"/>
        <v>0</v>
      </c>
      <c r="F17" s="18">
        <f t="shared" si="2"/>
        <v>0</v>
      </c>
      <c r="G17" s="18">
        <f t="shared" si="2"/>
        <v>0</v>
      </c>
      <c r="H17" s="225">
        <f t="shared" si="2"/>
        <v>0</v>
      </c>
      <c r="I17" s="18">
        <f t="shared" si="2"/>
        <v>132075</v>
      </c>
      <c r="K17" s="31"/>
    </row>
    <row r="18" spans="1:11" ht="13.9" thickTop="1" thickBot="1" x14ac:dyDescent="0.45">
      <c r="A18" s="19"/>
      <c r="B18" s="12"/>
      <c r="C18" s="226"/>
      <c r="D18" s="226"/>
      <c r="E18" s="226"/>
      <c r="F18" s="226"/>
      <c r="G18" s="226"/>
      <c r="H18" s="226"/>
      <c r="I18" s="222"/>
    </row>
    <row r="19" spans="1:11" ht="13.15" thickTop="1" x14ac:dyDescent="0.35">
      <c r="A19" s="328" t="s">
        <v>16</v>
      </c>
      <c r="B19" s="311" t="s">
        <v>2</v>
      </c>
      <c r="C19" s="330">
        <f t="shared" ref="C19:H19" si="3">+C11</f>
        <v>1</v>
      </c>
      <c r="D19" s="309">
        <f t="shared" si="3"/>
        <v>2</v>
      </c>
      <c r="E19" s="309">
        <f t="shared" si="3"/>
        <v>3</v>
      </c>
      <c r="F19" s="309">
        <f t="shared" si="3"/>
        <v>4</v>
      </c>
      <c r="G19" s="309">
        <f t="shared" si="3"/>
        <v>5</v>
      </c>
      <c r="H19" s="391">
        <f t="shared" si="3"/>
        <v>6</v>
      </c>
      <c r="I19" s="311" t="s">
        <v>3</v>
      </c>
    </row>
    <row r="20" spans="1:11" ht="13.15" thickBot="1" x14ac:dyDescent="0.4">
      <c r="A20" s="329"/>
      <c r="B20" s="312"/>
      <c r="C20" s="331"/>
      <c r="D20" s="310"/>
      <c r="E20" s="310"/>
      <c r="F20" s="310"/>
      <c r="G20" s="310"/>
      <c r="H20" s="392"/>
      <c r="I20" s="312"/>
    </row>
    <row r="21" spans="1:11" ht="13.15" thickTop="1" x14ac:dyDescent="0.35">
      <c r="A21" s="14" t="s">
        <v>17</v>
      </c>
      <c r="B21" s="57">
        <f>IF(B$24=0,0,D101)</f>
        <v>150000</v>
      </c>
      <c r="C21" s="223"/>
      <c r="D21" s="217"/>
      <c r="E21" s="217"/>
      <c r="F21" s="217"/>
      <c r="G21" s="217"/>
      <c r="H21" s="219"/>
      <c r="I21" s="57">
        <f>SUM(B21:H21)</f>
        <v>150000</v>
      </c>
    </row>
    <row r="22" spans="1:11" ht="13.15" thickBot="1" x14ac:dyDescent="0.4">
      <c r="A22" s="22" t="s">
        <v>18</v>
      </c>
      <c r="B22" s="84"/>
      <c r="C22" s="216">
        <f>IF($D$37=1,B37,0)</f>
        <v>1400000</v>
      </c>
      <c r="D22" s="227">
        <f>IF($D$39=1,B39,0)</f>
        <v>-786100</v>
      </c>
      <c r="E22" s="218">
        <f>IF($D$41=1,B41,0)</f>
        <v>-350000</v>
      </c>
      <c r="F22" s="218">
        <f>IF($D$43=1,B43,0)</f>
        <v>-20000</v>
      </c>
      <c r="G22" s="218">
        <f>IF($D$45=1,B45,0)</f>
        <v>-5000</v>
      </c>
      <c r="H22" s="220">
        <f>IF($D$47=1,B47,0)</f>
        <v>-59725</v>
      </c>
      <c r="I22" s="84">
        <f>SUM(B22:H22)</f>
        <v>179175</v>
      </c>
    </row>
    <row r="23" spans="1:11" ht="15.75" thickTop="1" thickBot="1" x14ac:dyDescent="0.4">
      <c r="A23" s="23" t="s">
        <v>19</v>
      </c>
      <c r="B23" s="24">
        <f t="shared" ref="B23:I23" si="4">SUM(B21:B22)</f>
        <v>150000</v>
      </c>
      <c r="C23" s="228">
        <f t="shared" si="4"/>
        <v>1400000</v>
      </c>
      <c r="D23" s="24">
        <f t="shared" si="4"/>
        <v>-786100</v>
      </c>
      <c r="E23" s="24">
        <f t="shared" si="4"/>
        <v>-350000</v>
      </c>
      <c r="F23" s="24">
        <f t="shared" si="4"/>
        <v>-20000</v>
      </c>
      <c r="G23" s="24">
        <f t="shared" si="4"/>
        <v>-5000</v>
      </c>
      <c r="H23" s="229">
        <f t="shared" si="4"/>
        <v>-59725</v>
      </c>
      <c r="I23" s="24">
        <f t="shared" si="4"/>
        <v>329175</v>
      </c>
    </row>
    <row r="24" spans="1:11" ht="15.4" thickTop="1" x14ac:dyDescent="0.35">
      <c r="A24" s="230"/>
      <c r="B24" s="26">
        <v>1</v>
      </c>
      <c r="C24" s="231"/>
      <c r="D24" s="231"/>
      <c r="E24" s="231"/>
      <c r="F24" s="231"/>
      <c r="G24" s="231"/>
      <c r="H24" s="231"/>
      <c r="I24" s="231"/>
    </row>
    <row r="25" spans="1:11" x14ac:dyDescent="0.35">
      <c r="A25" s="232" t="s">
        <v>20</v>
      </c>
      <c r="B25" s="29">
        <f t="shared" ref="B25:I25" si="5">+B9-B17-B23</f>
        <v>0</v>
      </c>
      <c r="C25" s="29">
        <f t="shared" si="5"/>
        <v>0</v>
      </c>
      <c r="D25" s="29">
        <f t="shared" si="5"/>
        <v>-52500</v>
      </c>
      <c r="E25" s="29">
        <f t="shared" si="5"/>
        <v>0</v>
      </c>
      <c r="F25" s="29">
        <f t="shared" si="5"/>
        <v>0</v>
      </c>
      <c r="G25" s="29">
        <f t="shared" si="5"/>
        <v>0</v>
      </c>
      <c r="H25" s="29">
        <f t="shared" si="5"/>
        <v>0</v>
      </c>
      <c r="I25" s="29">
        <f t="shared" si="5"/>
        <v>-52500</v>
      </c>
    </row>
    <row r="26" spans="1:11" x14ac:dyDescent="0.35">
      <c r="B26" s="31">
        <f>+B9-B17-B23</f>
        <v>0</v>
      </c>
      <c r="C26" s="31"/>
      <c r="D26" s="31"/>
      <c r="E26" s="31"/>
      <c r="F26" s="31"/>
      <c r="G26" s="233"/>
      <c r="H26" s="234"/>
      <c r="I26" s="234"/>
    </row>
    <row r="27" spans="1:11" x14ac:dyDescent="0.35">
      <c r="G27" s="233"/>
      <c r="H27" s="234"/>
      <c r="I27" s="234"/>
    </row>
    <row r="28" spans="1:11" x14ac:dyDescent="0.35">
      <c r="G28" s="233"/>
      <c r="H28" s="234"/>
      <c r="I28" s="234"/>
    </row>
    <row r="29" spans="1:11" x14ac:dyDescent="0.35">
      <c r="G29" s="233"/>
      <c r="H29" s="234"/>
      <c r="I29" s="234"/>
    </row>
    <row r="30" spans="1:11" x14ac:dyDescent="0.35">
      <c r="G30" s="233"/>
      <c r="H30" s="234"/>
      <c r="I30" s="234"/>
    </row>
    <row r="31" spans="1:11" x14ac:dyDescent="0.35">
      <c r="G31" s="233"/>
      <c r="H31" s="234"/>
      <c r="I31" s="234"/>
    </row>
    <row r="32" spans="1:11" x14ac:dyDescent="0.35">
      <c r="G32" s="233"/>
      <c r="H32" s="234"/>
      <c r="I32" s="234"/>
    </row>
    <row r="33" spans="1:9" x14ac:dyDescent="0.35">
      <c r="G33" s="233"/>
      <c r="H33" s="234"/>
      <c r="I33" s="234"/>
    </row>
    <row r="34" spans="1:9" ht="13.15" thickBot="1" x14ac:dyDescent="0.4">
      <c r="B34" s="31"/>
      <c r="C34" s="31"/>
      <c r="D34" s="31"/>
      <c r="E34" s="31"/>
      <c r="F34" s="31"/>
      <c r="G34" s="233"/>
      <c r="H34" s="234"/>
      <c r="I34" s="234"/>
    </row>
    <row r="35" spans="1:9" ht="13.15" thickTop="1" x14ac:dyDescent="0.35">
      <c r="A35" s="318" t="s">
        <v>32</v>
      </c>
      <c r="B35" s="320" t="s">
        <v>33</v>
      </c>
      <c r="C35" s="322" t="s">
        <v>34</v>
      </c>
      <c r="D35" s="235"/>
      <c r="E35" s="235"/>
    </row>
    <row r="36" spans="1:9" ht="13.15" thickBot="1" x14ac:dyDescent="0.4">
      <c r="A36" s="319"/>
      <c r="B36" s="321"/>
      <c r="C36" s="323"/>
    </row>
    <row r="37" spans="1:9" ht="13.5" thickTop="1" x14ac:dyDescent="0.4">
      <c r="A37" s="56" t="s">
        <v>35</v>
      </c>
      <c r="B37" s="57">
        <f>IF($D37=1,G78,0)</f>
        <v>1400000</v>
      </c>
      <c r="C37" s="58">
        <f t="shared" ref="C37:C48" si="6">+B37/$B$37</f>
        <v>1</v>
      </c>
      <c r="D37" s="26">
        <v>1</v>
      </c>
      <c r="E37" s="59" t="s">
        <v>36</v>
      </c>
    </row>
    <row r="38" spans="1:9" ht="13.5" thickBot="1" x14ac:dyDescent="0.45">
      <c r="A38" s="60" t="s">
        <v>37</v>
      </c>
      <c r="B38" s="61">
        <f>+B37</f>
        <v>1400000</v>
      </c>
      <c r="C38" s="62">
        <f t="shared" si="6"/>
        <v>1</v>
      </c>
    </row>
    <row r="39" spans="1:9" ht="13.15" thickTop="1" x14ac:dyDescent="0.35">
      <c r="A39" s="63" t="s">
        <v>38</v>
      </c>
      <c r="B39" s="57">
        <f>IF($D39=1,G80,0)</f>
        <v>-786100</v>
      </c>
      <c r="C39" s="64">
        <f t="shared" si="6"/>
        <v>-0.5615</v>
      </c>
      <c r="D39" s="26">
        <v>1</v>
      </c>
      <c r="E39" s="59" t="s">
        <v>39</v>
      </c>
    </row>
    <row r="40" spans="1:9" ht="13.15" x14ac:dyDescent="0.4">
      <c r="A40" s="65" t="s">
        <v>40</v>
      </c>
      <c r="B40" s="66">
        <f>+B37+B39</f>
        <v>613900</v>
      </c>
      <c r="C40" s="67">
        <f t="shared" si="6"/>
        <v>0.4385</v>
      </c>
    </row>
    <row r="41" spans="1:9" x14ac:dyDescent="0.35">
      <c r="A41" s="68" t="s">
        <v>41</v>
      </c>
      <c r="B41" s="69">
        <f>IF($D41=1,-D85,0)</f>
        <v>-350000</v>
      </c>
      <c r="C41" s="70">
        <f t="shared" si="6"/>
        <v>-0.25</v>
      </c>
      <c r="D41" s="26">
        <v>1</v>
      </c>
      <c r="E41" s="59" t="s">
        <v>42</v>
      </c>
    </row>
    <row r="42" spans="1:9" ht="13.15" x14ac:dyDescent="0.4">
      <c r="A42" s="71" t="s">
        <v>43</v>
      </c>
      <c r="B42" s="72">
        <f>+B40+B41</f>
        <v>263900</v>
      </c>
      <c r="C42" s="67">
        <f t="shared" si="6"/>
        <v>0.1885</v>
      </c>
      <c r="F42" s="73"/>
      <c r="G42" s="73"/>
      <c r="H42" s="73"/>
    </row>
    <row r="43" spans="1:9" x14ac:dyDescent="0.35">
      <c r="A43" s="68" t="s">
        <v>44</v>
      </c>
      <c r="B43" s="69">
        <f>IF($D43=1,-B5/10,0)</f>
        <v>-20000</v>
      </c>
      <c r="C43" s="70">
        <f t="shared" si="6"/>
        <v>-1.4285714285714285E-2</v>
      </c>
      <c r="D43" s="26">
        <v>1</v>
      </c>
      <c r="E43" s="59" t="s">
        <v>45</v>
      </c>
      <c r="F43" s="74"/>
      <c r="G43" s="74"/>
      <c r="H43" s="74"/>
    </row>
    <row r="44" spans="1:9" ht="13.15" x14ac:dyDescent="0.4">
      <c r="A44" s="71" t="s">
        <v>46</v>
      </c>
      <c r="B44" s="72">
        <f>+B42+B43</f>
        <v>243900</v>
      </c>
      <c r="C44" s="67">
        <f t="shared" si="6"/>
        <v>0.17421428571428571</v>
      </c>
      <c r="F44" s="73"/>
      <c r="G44" s="73"/>
      <c r="H44" s="73"/>
    </row>
    <row r="45" spans="1:9" x14ac:dyDescent="0.35">
      <c r="A45" s="75" t="s">
        <v>47</v>
      </c>
      <c r="B45" s="69">
        <f>IF($D45=1,-B13*D86,0)</f>
        <v>-5000</v>
      </c>
      <c r="C45" s="70">
        <f t="shared" si="6"/>
        <v>-3.5714285714285713E-3</v>
      </c>
      <c r="D45" s="26">
        <v>1</v>
      </c>
      <c r="E45" s="59" t="s">
        <v>48</v>
      </c>
      <c r="F45" s="74"/>
      <c r="G45" s="74"/>
      <c r="H45" s="74"/>
    </row>
    <row r="46" spans="1:9" ht="13.15" x14ac:dyDescent="0.4">
      <c r="A46" s="71" t="s">
        <v>49</v>
      </c>
      <c r="B46" s="72">
        <f>+B44+B45</f>
        <v>238900</v>
      </c>
      <c r="C46" s="67">
        <f t="shared" si="6"/>
        <v>0.17064285714285715</v>
      </c>
      <c r="F46" s="73"/>
      <c r="G46" s="73"/>
      <c r="H46" s="73"/>
    </row>
    <row r="47" spans="1:9" x14ac:dyDescent="0.35">
      <c r="A47" s="68" t="s">
        <v>99</v>
      </c>
      <c r="B47" s="69">
        <f>IF($D47=1,-B46*D87,0)</f>
        <v>-59725</v>
      </c>
      <c r="C47" s="70">
        <f t="shared" si="6"/>
        <v>-4.2660714285714288E-2</v>
      </c>
      <c r="D47" s="26">
        <v>1</v>
      </c>
      <c r="E47" s="59" t="s">
        <v>51</v>
      </c>
      <c r="F47" s="74"/>
      <c r="G47" s="74"/>
      <c r="H47" s="74"/>
    </row>
    <row r="48" spans="1:9" ht="15" x14ac:dyDescent="0.35">
      <c r="A48" s="76" t="s">
        <v>52</v>
      </c>
      <c r="B48" s="77">
        <f>+B46+B47</f>
        <v>179175</v>
      </c>
      <c r="C48" s="78">
        <f t="shared" si="6"/>
        <v>0.12798214285714285</v>
      </c>
      <c r="D48" s="79"/>
      <c r="E48" s="79"/>
      <c r="F48" s="79"/>
      <c r="G48" s="79"/>
      <c r="H48" s="79"/>
    </row>
    <row r="49" spans="1:9" ht="13.15" thickBot="1" x14ac:dyDescent="0.4"/>
    <row r="50" spans="1:9" ht="13.15" thickTop="1" x14ac:dyDescent="0.35">
      <c r="A50" s="303" t="s">
        <v>53</v>
      </c>
      <c r="B50" s="305" t="s">
        <v>54</v>
      </c>
      <c r="C50" s="307" t="s">
        <v>53</v>
      </c>
      <c r="D50" s="235"/>
      <c r="E50" s="235"/>
      <c r="F50" s="235"/>
      <c r="G50" s="235"/>
      <c r="H50" s="235">
        <f>+H49*C40</f>
        <v>0</v>
      </c>
      <c r="I50" s="31"/>
    </row>
    <row r="51" spans="1:9" ht="13.15" thickBot="1" x14ac:dyDescent="0.4">
      <c r="A51" s="304"/>
      <c r="B51" s="306"/>
      <c r="C51" s="308"/>
      <c r="D51" s="235"/>
      <c r="E51" s="235"/>
      <c r="F51" s="235"/>
      <c r="G51" s="235"/>
      <c r="H51" s="235"/>
    </row>
    <row r="52" spans="1:9" ht="13.15" thickTop="1" x14ac:dyDescent="0.35">
      <c r="A52" s="80" t="s">
        <v>55</v>
      </c>
      <c r="B52" s="82">
        <v>0</v>
      </c>
      <c r="C52" s="82">
        <f>+C8</f>
        <v>1300000</v>
      </c>
      <c r="D52" s="236"/>
      <c r="E52" s="236"/>
      <c r="F52" s="236"/>
      <c r="G52" s="236"/>
      <c r="H52" s="236"/>
    </row>
    <row r="53" spans="1:9" x14ac:dyDescent="0.35">
      <c r="A53" s="75" t="s">
        <v>56</v>
      </c>
      <c r="B53" s="84">
        <v>0</v>
      </c>
      <c r="C53" s="84">
        <f>+D8</f>
        <v>-865740</v>
      </c>
      <c r="D53" s="31"/>
      <c r="E53" s="31"/>
      <c r="F53" s="31"/>
      <c r="G53" s="31"/>
      <c r="H53" s="31"/>
    </row>
    <row r="54" spans="1:9" x14ac:dyDescent="0.35">
      <c r="A54" s="68" t="s">
        <v>57</v>
      </c>
      <c r="B54" s="84">
        <v>0</v>
      </c>
      <c r="C54" s="84">
        <f>+B41</f>
        <v>-350000</v>
      </c>
      <c r="D54" s="31"/>
      <c r="E54" s="31"/>
      <c r="F54" s="31"/>
      <c r="G54" s="31"/>
      <c r="H54" s="31"/>
    </row>
    <row r="55" spans="1:9" x14ac:dyDescent="0.35">
      <c r="A55" s="68" t="s">
        <v>58</v>
      </c>
      <c r="B55" s="84"/>
      <c r="C55" s="84">
        <f>+B45</f>
        <v>-5000</v>
      </c>
      <c r="D55" s="31"/>
      <c r="E55" s="31"/>
      <c r="F55" s="31"/>
      <c r="G55" s="31"/>
      <c r="H55" s="31"/>
    </row>
    <row r="56" spans="1:9" ht="13.15" thickBot="1" x14ac:dyDescent="0.4">
      <c r="A56" s="68" t="s">
        <v>100</v>
      </c>
      <c r="B56" s="84"/>
      <c r="C56" s="84">
        <f>+B47</f>
        <v>-59725</v>
      </c>
      <c r="D56" s="31"/>
      <c r="E56" s="31"/>
      <c r="F56" s="31"/>
      <c r="G56" s="31"/>
      <c r="H56" s="31"/>
    </row>
    <row r="57" spans="1:9" ht="13.9" thickTop="1" thickBot="1" x14ac:dyDescent="0.45">
      <c r="A57" s="86" t="s">
        <v>60</v>
      </c>
      <c r="B57" s="87">
        <f>SUM(B52:B56)</f>
        <v>0</v>
      </c>
      <c r="C57" s="87">
        <f>SUM(C52:C56)</f>
        <v>19535</v>
      </c>
      <c r="D57" s="237"/>
      <c r="E57" s="237"/>
      <c r="F57" s="237"/>
      <c r="G57" s="237"/>
      <c r="H57" s="237"/>
    </row>
    <row r="58" spans="1:9" ht="13.15" thickTop="1" x14ac:dyDescent="0.35">
      <c r="A58" s="75" t="s">
        <v>61</v>
      </c>
      <c r="B58" s="57">
        <f>-B5</f>
        <v>-200000</v>
      </c>
      <c r="C58" s="57"/>
      <c r="D58" s="31"/>
      <c r="E58" s="31"/>
      <c r="F58" s="31"/>
      <c r="G58" s="31"/>
      <c r="H58" s="31"/>
    </row>
    <row r="59" spans="1:9" ht="13.15" thickBot="1" x14ac:dyDescent="0.4">
      <c r="A59" s="75"/>
      <c r="B59" s="238"/>
      <c r="C59" s="84">
        <f>SUM(B59:B59)</f>
        <v>0</v>
      </c>
      <c r="D59" s="31"/>
      <c r="E59" s="31"/>
      <c r="F59" s="31"/>
      <c r="G59" s="31"/>
      <c r="H59" s="31"/>
    </row>
    <row r="60" spans="1:9" ht="13.9" thickTop="1" thickBot="1" x14ac:dyDescent="0.45">
      <c r="A60" s="86" t="s">
        <v>62</v>
      </c>
      <c r="B60" s="87">
        <f>+B57+B58</f>
        <v>-200000</v>
      </c>
      <c r="C60" s="87">
        <f>+C58</f>
        <v>0</v>
      </c>
      <c r="D60" s="237"/>
      <c r="E60" s="237"/>
      <c r="F60" s="237"/>
      <c r="G60" s="237"/>
      <c r="H60" s="237"/>
    </row>
    <row r="61" spans="1:9" ht="13.15" thickTop="1" x14ac:dyDescent="0.35">
      <c r="A61" s="68" t="s">
        <v>63</v>
      </c>
      <c r="B61" s="84">
        <f>+B13</f>
        <v>100000</v>
      </c>
      <c r="C61" s="84"/>
      <c r="D61" s="31"/>
      <c r="E61" s="31"/>
      <c r="F61" s="31"/>
      <c r="G61" s="31"/>
      <c r="H61" s="31"/>
    </row>
    <row r="62" spans="1:9" x14ac:dyDescent="0.35">
      <c r="A62" s="68" t="s">
        <v>64</v>
      </c>
      <c r="B62" s="84">
        <f>+B21</f>
        <v>150000</v>
      </c>
      <c r="C62" s="84"/>
      <c r="D62" s="31"/>
      <c r="E62" s="31"/>
      <c r="F62" s="31"/>
      <c r="G62" s="31"/>
      <c r="H62" s="31"/>
    </row>
    <row r="63" spans="1:9" ht="13.15" thickBot="1" x14ac:dyDescent="0.4">
      <c r="A63" s="68" t="s">
        <v>65</v>
      </c>
      <c r="B63" s="84" t="e">
        <f>+#REF!</f>
        <v>#REF!</v>
      </c>
      <c r="C63" s="84">
        <f>IF(B67+C57+C60+C61+C62&lt;0,-(B67+C57+C60+C61+C62),0)</f>
        <v>0</v>
      </c>
      <c r="D63" s="31"/>
      <c r="E63" s="31"/>
      <c r="F63" s="31"/>
      <c r="G63" s="31"/>
      <c r="H63" s="31"/>
    </row>
    <row r="64" spans="1:9" ht="13.9" thickTop="1" thickBot="1" x14ac:dyDescent="0.45">
      <c r="A64" s="239" t="s">
        <v>66</v>
      </c>
      <c r="B64" s="91">
        <f>+B62+B61</f>
        <v>250000</v>
      </c>
      <c r="C64" s="91">
        <f>+C62+C61</f>
        <v>0</v>
      </c>
      <c r="D64" s="240"/>
      <c r="E64" s="240"/>
      <c r="F64" s="240"/>
      <c r="G64" s="240"/>
      <c r="H64" s="240"/>
    </row>
    <row r="65" spans="1:11" ht="15.75" thickTop="1" thickBot="1" x14ac:dyDescent="0.4">
      <c r="A65" s="93" t="s">
        <v>67</v>
      </c>
      <c r="B65" s="241">
        <f>+B57+B60+B64</f>
        <v>50000</v>
      </c>
      <c r="C65" s="241">
        <f>+C57+C60+C64</f>
        <v>19535</v>
      </c>
      <c r="D65" s="242"/>
      <c r="E65" s="242"/>
      <c r="F65" s="242"/>
      <c r="G65" s="242"/>
      <c r="H65" s="242"/>
    </row>
    <row r="66" spans="1:11" ht="13.9" thickTop="1" thickBot="1" x14ac:dyDescent="0.4">
      <c r="A66" s="96" t="s">
        <v>68</v>
      </c>
      <c r="B66" s="84">
        <v>0</v>
      </c>
      <c r="C66" s="97">
        <f>+B67</f>
        <v>50000</v>
      </c>
      <c r="D66" s="231"/>
      <c r="E66" s="231"/>
      <c r="F66" s="231"/>
      <c r="G66" s="231"/>
      <c r="H66" s="231"/>
    </row>
    <row r="67" spans="1:11" ht="13.9" thickTop="1" thickBot="1" x14ac:dyDescent="0.4">
      <c r="A67" s="98" t="s">
        <v>69</v>
      </c>
      <c r="B67" s="99">
        <f>+B65+B66</f>
        <v>50000</v>
      </c>
      <c r="C67" s="99">
        <f>+C65+C66</f>
        <v>69535</v>
      </c>
      <c r="D67" s="243"/>
      <c r="E67" s="243"/>
      <c r="F67" s="243"/>
      <c r="G67" s="243"/>
      <c r="H67" s="243"/>
    </row>
    <row r="68" spans="1:11" ht="13.15" thickTop="1" x14ac:dyDescent="0.35"/>
    <row r="71" spans="1:11" ht="15" x14ac:dyDescent="0.4">
      <c r="A71" s="393" t="s">
        <v>74</v>
      </c>
      <c r="B71" s="393"/>
      <c r="C71" s="393"/>
      <c r="D71" s="393"/>
      <c r="E71" s="31"/>
      <c r="F71" s="31"/>
      <c r="G71" s="31"/>
      <c r="H71" s="31"/>
      <c r="I71" s="31"/>
    </row>
    <row r="72" spans="1:11" ht="13.15" x14ac:dyDescent="0.4">
      <c r="A72" s="184"/>
      <c r="B72" s="185" t="s">
        <v>75</v>
      </c>
      <c r="C72" s="186" t="s">
        <v>76</v>
      </c>
      <c r="D72" s="186" t="s">
        <v>77</v>
      </c>
    </row>
    <row r="73" spans="1:11" ht="13.15" x14ac:dyDescent="0.4">
      <c r="A73" s="187" t="s">
        <v>78</v>
      </c>
      <c r="B73" s="188"/>
      <c r="C73" s="189"/>
      <c r="D73" s="189"/>
      <c r="E73" s="31"/>
      <c r="F73" s="31"/>
      <c r="G73" s="190"/>
    </row>
    <row r="74" spans="1:11" ht="13.15" x14ac:dyDescent="0.4">
      <c r="A74" s="191"/>
      <c r="B74" s="192"/>
      <c r="C74" s="193"/>
      <c r="D74" s="193"/>
    </row>
    <row r="75" spans="1:11" x14ac:dyDescent="0.35">
      <c r="A75" s="194" t="s">
        <v>79</v>
      </c>
      <c r="B75" s="195">
        <f>+'[2]Complementos de mujer'!B30</f>
        <v>1400000</v>
      </c>
      <c r="C75" s="198">
        <v>1</v>
      </c>
      <c r="D75" s="195">
        <f>+B75*C75</f>
        <v>1400000</v>
      </c>
      <c r="E75" s="31"/>
    </row>
    <row r="76" spans="1:11" x14ac:dyDescent="0.35">
      <c r="A76" s="194" t="s">
        <v>80</v>
      </c>
      <c r="B76" s="197"/>
      <c r="C76" s="198"/>
      <c r="D76" s="197">
        <f>+C76*B76</f>
        <v>0</v>
      </c>
      <c r="F76" s="313"/>
      <c r="G76" s="315" t="s">
        <v>21</v>
      </c>
      <c r="H76" s="394" t="s">
        <v>22</v>
      </c>
      <c r="I76" s="394"/>
      <c r="J76" s="394"/>
      <c r="K76" s="394"/>
    </row>
    <row r="77" spans="1:11" x14ac:dyDescent="0.35">
      <c r="A77" s="199" t="s">
        <v>81</v>
      </c>
      <c r="B77" s="197">
        <f>+'[2]Complementos de mujer'!C31</f>
        <v>0.35</v>
      </c>
      <c r="C77" s="198">
        <v>1</v>
      </c>
      <c r="D77" s="197">
        <f>+B77*C77</f>
        <v>0.35</v>
      </c>
      <c r="F77" s="314"/>
      <c r="G77" s="316"/>
      <c r="H77" s="283" t="str">
        <f>+'[2]Complementos de mujer'!C29</f>
        <v>BOLSOS</v>
      </c>
      <c r="I77" s="283" t="str">
        <f>+'[2]Complementos de mujer'!D29</f>
        <v>ZAPATERIA</v>
      </c>
      <c r="J77" s="283" t="str">
        <f>+'[2]Complementos de mujer'!E29</f>
        <v>JOYERIA</v>
      </c>
      <c r="K77" s="283" t="s">
        <v>26</v>
      </c>
    </row>
    <row r="78" spans="1:11" ht="13.15" x14ac:dyDescent="0.4">
      <c r="A78" s="194" t="s">
        <v>82</v>
      </c>
      <c r="B78" s="197">
        <f>+'[2]Complementos de mujer'!D31</f>
        <v>0.45</v>
      </c>
      <c r="C78" s="198">
        <v>1</v>
      </c>
      <c r="D78" s="197">
        <f>+B78*C78</f>
        <v>0.45</v>
      </c>
      <c r="F78" s="36" t="s">
        <v>27</v>
      </c>
      <c r="G78" s="38">
        <v>1400000</v>
      </c>
      <c r="H78" s="38">
        <f>+$G$78*H79</f>
        <v>489999.99999999994</v>
      </c>
      <c r="I78" s="38">
        <f>+$G$78*I79</f>
        <v>630000</v>
      </c>
      <c r="J78" s="38">
        <f>+$G$78*J79</f>
        <v>70000</v>
      </c>
      <c r="K78" s="39">
        <v>210000</v>
      </c>
    </row>
    <row r="79" spans="1:11" x14ac:dyDescent="0.35">
      <c r="A79" s="194" t="s">
        <v>83</v>
      </c>
      <c r="B79" s="197">
        <f>+'[2]Complementos de mujer'!E31</f>
        <v>0.05</v>
      </c>
      <c r="C79" s="198">
        <v>1</v>
      </c>
      <c r="D79" s="197">
        <f>+B79*C79</f>
        <v>0.05</v>
      </c>
      <c r="F79" s="40" t="s">
        <v>28</v>
      </c>
      <c r="G79" s="41">
        <f>SUM(H79:K79)</f>
        <v>1</v>
      </c>
      <c r="H79" s="201">
        <f>+D77</f>
        <v>0.35</v>
      </c>
      <c r="I79" s="201">
        <f>+D78</f>
        <v>0.45</v>
      </c>
      <c r="J79" s="201">
        <f>+D79</f>
        <v>0.05</v>
      </c>
      <c r="K79" s="201">
        <f>1-H79-I79-J79</f>
        <v>0.15000000000000002</v>
      </c>
    </row>
    <row r="80" spans="1:11" x14ac:dyDescent="0.35">
      <c r="A80" s="194" t="s">
        <v>84</v>
      </c>
      <c r="B80" s="197">
        <f>+'[2]Complementos de mujer'!F31</f>
        <v>0.15000000000000002</v>
      </c>
      <c r="C80" s="198"/>
      <c r="D80" s="197">
        <f>1-D79-D78-D77</f>
        <v>0.14999999999999997</v>
      </c>
      <c r="F80" s="44" t="s">
        <v>29</v>
      </c>
      <c r="G80" s="202">
        <f>-SUM(H80:K80)</f>
        <v>-786100</v>
      </c>
      <c r="H80" s="46">
        <f>+H78*(1-H82)</f>
        <v>284200</v>
      </c>
      <c r="I80" s="46">
        <f>+I78*(1-I82)</f>
        <v>384300</v>
      </c>
      <c r="J80" s="46">
        <f>+J78*(1-J82)</f>
        <v>23099.999999999996</v>
      </c>
      <c r="K80" s="46">
        <f>+K78*(1-K82)</f>
        <v>94499.999999999985</v>
      </c>
    </row>
    <row r="81" spans="1:11" ht="13.15" x14ac:dyDescent="0.4">
      <c r="A81" s="203" t="s">
        <v>85</v>
      </c>
      <c r="B81" s="204">
        <f>+'[2]Complementos de mujer'!B34</f>
        <v>0.40100000000000002</v>
      </c>
      <c r="C81" s="205">
        <f>+D81/B81</f>
        <v>1.0935162094763091</v>
      </c>
      <c r="D81" s="204">
        <f>+G82</f>
        <v>0.4385</v>
      </c>
      <c r="E81" s="31"/>
      <c r="F81" s="47" t="s">
        <v>30</v>
      </c>
      <c r="G81" s="48">
        <f>SUM(H81:K81)</f>
        <v>613900</v>
      </c>
      <c r="H81" s="49">
        <f>+H78-H80</f>
        <v>205799.99999999994</v>
      </c>
      <c r="I81" s="49">
        <f>+I78-I80</f>
        <v>245700</v>
      </c>
      <c r="J81" s="49">
        <f>+J78-J80</f>
        <v>46900</v>
      </c>
      <c r="K81" s="49">
        <f>+K78-K80</f>
        <v>115500.00000000001</v>
      </c>
    </row>
    <row r="82" spans="1:11" ht="13.15" x14ac:dyDescent="0.4">
      <c r="A82" s="194"/>
      <c r="B82" s="197"/>
      <c r="C82" s="198"/>
      <c r="D82" s="197"/>
      <c r="F82" s="50" t="s">
        <v>31</v>
      </c>
      <c r="G82" s="51">
        <f>+G81/G78</f>
        <v>0.4385</v>
      </c>
      <c r="H82" s="52">
        <f>+'[2]Complementos de mujer'!C34</f>
        <v>0.42</v>
      </c>
      <c r="I82" s="52">
        <f>+'[2]Complementos de mujer'!D34</f>
        <v>0.39</v>
      </c>
      <c r="J82" s="52">
        <f>+'[2]Complementos de mujer'!E34</f>
        <v>0.67</v>
      </c>
      <c r="K82" s="300">
        <v>0.55000000000000004</v>
      </c>
    </row>
    <row r="83" spans="1:11" ht="13.15" x14ac:dyDescent="0.4">
      <c r="A83" s="187" t="s">
        <v>86</v>
      </c>
      <c r="B83" s="206"/>
      <c r="C83" s="214"/>
      <c r="D83" s="206"/>
      <c r="F83" s="208"/>
      <c r="G83" s="209"/>
      <c r="H83" s="210"/>
      <c r="I83" s="210"/>
      <c r="J83" s="210"/>
      <c r="K83" s="211"/>
    </row>
    <row r="84" spans="1:11" ht="13.15" x14ac:dyDescent="0.4">
      <c r="A84" s="191"/>
      <c r="B84" s="197"/>
      <c r="C84" s="198"/>
      <c r="D84" s="197"/>
      <c r="F84" s="208"/>
      <c r="G84" s="209"/>
      <c r="H84" s="210"/>
      <c r="I84" s="210"/>
      <c r="J84" s="210"/>
      <c r="K84" s="211"/>
    </row>
    <row r="85" spans="1:11" x14ac:dyDescent="0.35">
      <c r="A85" s="194" t="s">
        <v>87</v>
      </c>
      <c r="B85" s="195">
        <f>-'[2]Complementos de mujer'!B42</f>
        <v>350000</v>
      </c>
      <c r="C85" s="198">
        <v>1</v>
      </c>
      <c r="D85" s="195">
        <f>+B85*C85</f>
        <v>350000</v>
      </c>
      <c r="E85" s="31"/>
      <c r="F85" s="31"/>
      <c r="G85" s="190"/>
    </row>
    <row r="86" spans="1:11" x14ac:dyDescent="0.35">
      <c r="A86" s="194" t="s">
        <v>88</v>
      </c>
      <c r="B86" s="197">
        <v>0.05</v>
      </c>
      <c r="C86" s="198">
        <v>1</v>
      </c>
      <c r="D86" s="197">
        <f>+B86*C86</f>
        <v>0.05</v>
      </c>
      <c r="E86" s="31"/>
      <c r="F86" s="190"/>
    </row>
    <row r="87" spans="1:11" x14ac:dyDescent="0.35">
      <c r="A87" s="194" t="s">
        <v>89</v>
      </c>
      <c r="B87" s="197">
        <v>0.25</v>
      </c>
      <c r="C87" s="198">
        <v>1</v>
      </c>
      <c r="D87" s="197">
        <f>+B87*C87</f>
        <v>0.25</v>
      </c>
      <c r="E87" s="31"/>
      <c r="F87" s="190"/>
    </row>
    <row r="88" spans="1:11" x14ac:dyDescent="0.35">
      <c r="A88" s="194"/>
      <c r="B88" s="197"/>
      <c r="C88" s="198"/>
      <c r="D88" s="197"/>
      <c r="F88" s="190"/>
    </row>
    <row r="89" spans="1:11" ht="13.15" x14ac:dyDescent="0.4">
      <c r="A89" s="187" t="s">
        <v>90</v>
      </c>
      <c r="B89" s="206"/>
      <c r="C89" s="214"/>
      <c r="D89" s="206"/>
      <c r="F89" s="190"/>
    </row>
    <row r="90" spans="1:11" ht="13.15" x14ac:dyDescent="0.4">
      <c r="A90" s="212"/>
      <c r="B90" s="213"/>
      <c r="C90" s="214"/>
      <c r="D90" s="213"/>
      <c r="F90" s="190"/>
    </row>
    <row r="91" spans="1:11" x14ac:dyDescent="0.35">
      <c r="A91" s="194" t="s">
        <v>91</v>
      </c>
      <c r="B91" s="195">
        <v>15</v>
      </c>
      <c r="C91" s="198">
        <v>1</v>
      </c>
      <c r="D91" s="215">
        <f>+B91*C91</f>
        <v>15</v>
      </c>
      <c r="E91" s="31"/>
      <c r="F91" s="31"/>
      <c r="G91" s="190"/>
    </row>
    <row r="92" spans="1:11" x14ac:dyDescent="0.35">
      <c r="A92" s="194" t="s">
        <v>92</v>
      </c>
      <c r="B92" s="195">
        <v>15</v>
      </c>
      <c r="C92" s="198">
        <v>1</v>
      </c>
      <c r="D92" s="215">
        <f>+B92*C92</f>
        <v>15</v>
      </c>
      <c r="E92" s="31"/>
      <c r="F92" s="31"/>
      <c r="G92" s="190"/>
    </row>
    <row r="93" spans="1:11" x14ac:dyDescent="0.35">
      <c r="A93" s="194" t="s">
        <v>93</v>
      </c>
      <c r="B93" s="195">
        <v>30</v>
      </c>
      <c r="C93" s="198">
        <v>1</v>
      </c>
      <c r="D93" s="195">
        <f>+C93*B93</f>
        <v>30</v>
      </c>
      <c r="E93" s="31"/>
      <c r="F93" s="31"/>
      <c r="G93" s="190"/>
    </row>
    <row r="94" spans="1:11" x14ac:dyDescent="0.35">
      <c r="B94" s="31"/>
      <c r="C94" s="215"/>
      <c r="F94" s="190"/>
    </row>
    <row r="95" spans="1:11" x14ac:dyDescent="0.35">
      <c r="A95" s="194" t="s">
        <v>94</v>
      </c>
      <c r="B95" s="31"/>
      <c r="C95" s="215"/>
      <c r="D95" s="195">
        <f>-(+B39+(B39/360)*D93)</f>
        <v>851608.33333333337</v>
      </c>
      <c r="F95" s="190"/>
      <c r="G95" s="59"/>
    </row>
    <row r="96" spans="1:11" x14ac:dyDescent="0.35">
      <c r="C96" s="215"/>
      <c r="F96" s="190"/>
    </row>
    <row r="97" spans="1:8" ht="13.15" x14ac:dyDescent="0.4">
      <c r="A97" s="187" t="s">
        <v>95</v>
      </c>
      <c r="B97" s="206"/>
      <c r="C97" s="214"/>
      <c r="D97" s="206"/>
      <c r="F97" s="190"/>
      <c r="H97" s="59"/>
    </row>
    <row r="98" spans="1:8" ht="13.15" x14ac:dyDescent="0.4">
      <c r="A98" s="212"/>
      <c r="B98" s="213"/>
      <c r="C98" s="214"/>
      <c r="D98" s="213"/>
      <c r="F98" s="190"/>
    </row>
    <row r="99" spans="1:8" x14ac:dyDescent="0.35">
      <c r="A99" s="194" t="s">
        <v>96</v>
      </c>
      <c r="B99" s="195">
        <f>+'[2]Complementos de mujer'!B5</f>
        <v>200000</v>
      </c>
      <c r="C99" s="198">
        <v>1</v>
      </c>
      <c r="D99" s="195">
        <f>+B99*C99</f>
        <v>200000</v>
      </c>
      <c r="E99" s="31"/>
      <c r="F99" s="190"/>
    </row>
    <row r="100" spans="1:8" x14ac:dyDescent="0.35">
      <c r="A100" s="194" t="s">
        <v>97</v>
      </c>
      <c r="B100" s="195">
        <f>+'[2]Complementos de mujer'!B13</f>
        <v>100000</v>
      </c>
      <c r="C100" s="198">
        <v>1</v>
      </c>
      <c r="D100" s="195">
        <f>+B100*C100</f>
        <v>100000</v>
      </c>
      <c r="E100" s="31"/>
      <c r="F100" s="190"/>
    </row>
    <row r="101" spans="1:8" x14ac:dyDescent="0.35">
      <c r="A101" s="194" t="s">
        <v>98</v>
      </c>
      <c r="B101" s="195">
        <f>+'[2]Complementos de mujer'!B22</f>
        <v>150000</v>
      </c>
      <c r="C101" s="198">
        <v>1</v>
      </c>
      <c r="D101" s="195">
        <f>+B101*C101</f>
        <v>150000</v>
      </c>
      <c r="E101" s="31"/>
      <c r="F101" s="190"/>
    </row>
    <row r="102" spans="1:8" x14ac:dyDescent="0.35">
      <c r="F102" s="190"/>
    </row>
    <row r="103" spans="1:8" ht="13.15" thickBot="1" x14ac:dyDescent="0.4">
      <c r="F103" s="190"/>
    </row>
    <row r="104" spans="1:8" ht="18" thickTop="1" thickBot="1" x14ac:dyDescent="0.5">
      <c r="A104" s="244" t="s">
        <v>101</v>
      </c>
      <c r="B104" s="245"/>
      <c r="C104" s="246" t="s">
        <v>102</v>
      </c>
      <c r="F104" s="190"/>
    </row>
    <row r="105" spans="1:8" ht="14.25" thickTop="1" thickBot="1" x14ac:dyDescent="0.4">
      <c r="A105" s="247" t="s">
        <v>103</v>
      </c>
      <c r="B105" s="248"/>
      <c r="C105" s="249">
        <v>37000</v>
      </c>
    </row>
    <row r="106" spans="1:8" ht="14.25" thickTop="1" thickBot="1" x14ac:dyDescent="0.4">
      <c r="A106" s="250" t="s">
        <v>104</v>
      </c>
      <c r="B106" s="251"/>
      <c r="C106" s="252">
        <v>8.8999999999999996E-2</v>
      </c>
    </row>
    <row r="107" spans="1:8" ht="14.25" thickTop="1" thickBot="1" x14ac:dyDescent="0.4">
      <c r="A107" s="247" t="s">
        <v>105</v>
      </c>
      <c r="B107" s="248"/>
      <c r="C107" s="249">
        <v>415730.3370786517</v>
      </c>
    </row>
    <row r="108" spans="1:8" ht="14.25" thickTop="1" thickBot="1" x14ac:dyDescent="0.4">
      <c r="A108" s="253" t="s">
        <v>106</v>
      </c>
      <c r="B108" s="251"/>
      <c r="C108" s="252">
        <v>0.46701238836070297</v>
      </c>
    </row>
    <row r="109" spans="1:8" ht="14.25" thickTop="1" thickBot="1" x14ac:dyDescent="0.4">
      <c r="A109" s="247" t="s">
        <v>20</v>
      </c>
      <c r="B109" s="248"/>
      <c r="C109" s="249">
        <v>0</v>
      </c>
    </row>
    <row r="110" spans="1:8" ht="13.15" thickTop="1" x14ac:dyDescent="0.35">
      <c r="A110" s="59"/>
      <c r="B110" s="254"/>
      <c r="C110" s="255"/>
    </row>
    <row r="111" spans="1:8" ht="17.649999999999999" thickBot="1" x14ac:dyDescent="0.5">
      <c r="A111" s="256" t="s">
        <v>107</v>
      </c>
      <c r="B111" s="257"/>
      <c r="C111" s="258"/>
    </row>
    <row r="112" spans="1:8" ht="13.5" thickTop="1" thickBot="1" x14ac:dyDescent="0.4">
      <c r="A112" s="259"/>
      <c r="B112" s="260"/>
      <c r="C112" s="261"/>
    </row>
    <row r="113" spans="1:3" ht="14.65" thickTop="1" thickBot="1" x14ac:dyDescent="0.45">
      <c r="A113" s="262" t="s">
        <v>108</v>
      </c>
      <c r="B113" s="263"/>
      <c r="C113" s="291">
        <f>+B44/I9</f>
        <v>0.59669724770642207</v>
      </c>
    </row>
    <row r="114" spans="1:3" ht="13.5" thickTop="1" thickBot="1" x14ac:dyDescent="0.4">
      <c r="A114" s="265" t="s">
        <v>109</v>
      </c>
      <c r="B114" s="266"/>
      <c r="C114" s="267">
        <f>+B44/B37</f>
        <v>0.17421428571428571</v>
      </c>
    </row>
    <row r="115" spans="1:3" ht="13.5" thickTop="1" thickBot="1" x14ac:dyDescent="0.4">
      <c r="A115" s="268" t="s">
        <v>110</v>
      </c>
      <c r="B115" s="269"/>
      <c r="C115" s="270">
        <f>+B37/I9</f>
        <v>3.4250764525993884</v>
      </c>
    </row>
    <row r="116" spans="1:3" ht="13.5" thickTop="1" thickBot="1" x14ac:dyDescent="0.4">
      <c r="A116" s="265" t="s">
        <v>111</v>
      </c>
      <c r="B116" s="266"/>
      <c r="C116" s="271">
        <f>+C114*C115</f>
        <v>0.59669724770642196</v>
      </c>
    </row>
    <row r="117" spans="1:3" ht="13.5" thickTop="1" thickBot="1" x14ac:dyDescent="0.4">
      <c r="C117" s="261"/>
    </row>
    <row r="118" spans="1:3" ht="14.65" thickTop="1" thickBot="1" x14ac:dyDescent="0.45">
      <c r="A118" s="262" t="s">
        <v>112</v>
      </c>
      <c r="B118" s="263"/>
      <c r="C118" s="272">
        <f>+B48/I23</f>
        <v>0.54431533378901797</v>
      </c>
    </row>
    <row r="119" spans="1:3" ht="14.65" thickTop="1" thickBot="1" x14ac:dyDescent="0.45">
      <c r="A119" s="273" t="s">
        <v>113</v>
      </c>
      <c r="B119" s="274"/>
      <c r="C119" s="275">
        <v>1.1883600136661402E-2</v>
      </c>
    </row>
    <row r="120" spans="1:3" ht="14.65" thickTop="1" thickBot="1" x14ac:dyDescent="0.45">
      <c r="A120" s="276" t="s">
        <v>114</v>
      </c>
      <c r="B120" s="277"/>
      <c r="C120" s="278">
        <v>0.36502831666059504</v>
      </c>
    </row>
    <row r="121" spans="1:3" ht="14.65" thickTop="1" thickBot="1" x14ac:dyDescent="0.45">
      <c r="A121" s="273" t="s">
        <v>115</v>
      </c>
      <c r="B121" s="274"/>
      <c r="C121" s="279">
        <v>0.95755101653770291</v>
      </c>
    </row>
    <row r="122" spans="1:3" ht="14.65" thickTop="1" thickBot="1" x14ac:dyDescent="0.45">
      <c r="A122" s="276" t="s">
        <v>116</v>
      </c>
      <c r="B122" s="277"/>
      <c r="C122" s="278">
        <v>0.75</v>
      </c>
    </row>
    <row r="123" spans="1:3" ht="14.65" thickTop="1" thickBot="1" x14ac:dyDescent="0.45">
      <c r="A123" s="273" t="s">
        <v>20</v>
      </c>
      <c r="B123" s="274"/>
      <c r="C123" s="275">
        <v>0.54483386436049175</v>
      </c>
    </row>
    <row r="124" spans="1:3" ht="13.15" thickTop="1" x14ac:dyDescent="0.35"/>
  </sheetData>
  <mergeCells count="39">
    <mergeCell ref="A1:I1"/>
    <mergeCell ref="A2:I2"/>
    <mergeCell ref="A3:A4"/>
    <mergeCell ref="B3:B4"/>
    <mergeCell ref="C3:C4"/>
    <mergeCell ref="D3:D4"/>
    <mergeCell ref="E3:E4"/>
    <mergeCell ref="F3:F4"/>
    <mergeCell ref="G3:G4"/>
    <mergeCell ref="H3:H4"/>
    <mergeCell ref="I3:I4"/>
    <mergeCell ref="A11:A12"/>
    <mergeCell ref="B11:B12"/>
    <mergeCell ref="C11:C12"/>
    <mergeCell ref="D11:D12"/>
    <mergeCell ref="E11:E12"/>
    <mergeCell ref="F11:F12"/>
    <mergeCell ref="G11:G12"/>
    <mergeCell ref="H11:H12"/>
    <mergeCell ref="I11:I12"/>
    <mergeCell ref="G19:G20"/>
    <mergeCell ref="H19:H20"/>
    <mergeCell ref="I19:I20"/>
    <mergeCell ref="D19:D20"/>
    <mergeCell ref="E19:E20"/>
    <mergeCell ref="F19:F20"/>
    <mergeCell ref="H76:K76"/>
    <mergeCell ref="A50:A51"/>
    <mergeCell ref="B50:B51"/>
    <mergeCell ref="C50:C51"/>
    <mergeCell ref="A71:D71"/>
    <mergeCell ref="F76:F77"/>
    <mergeCell ref="G76:G77"/>
    <mergeCell ref="A35:A36"/>
    <mergeCell ref="B35:B36"/>
    <mergeCell ref="C35:C36"/>
    <mergeCell ref="A19:A20"/>
    <mergeCell ref="B19:B20"/>
    <mergeCell ref="C19:C20"/>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6E4EDD-D164-474F-8272-C7E31BBDF558}">
  <dimension ref="A1:K124"/>
  <sheetViews>
    <sheetView workbookViewId="0">
      <selection activeCell="L13" sqref="L13"/>
    </sheetView>
  </sheetViews>
  <sheetFormatPr baseColWidth="10" defaultRowHeight="12.75" x14ac:dyDescent="0.35"/>
  <sheetData>
    <row r="1" spans="1:9" ht="82.5" customHeight="1" thickBot="1" x14ac:dyDescent="0.4">
      <c r="A1" s="395" t="s">
        <v>128</v>
      </c>
      <c r="B1" s="397"/>
      <c r="C1" s="397"/>
      <c r="D1" s="397"/>
      <c r="E1" s="397"/>
      <c r="F1" s="397"/>
      <c r="G1" s="397"/>
      <c r="H1" s="397"/>
      <c r="I1" s="397"/>
    </row>
    <row r="2" spans="1:9" ht="18" thickTop="1" thickBot="1" x14ac:dyDescent="0.5">
      <c r="A2" s="336" t="s">
        <v>0</v>
      </c>
      <c r="B2" s="337"/>
      <c r="C2" s="337"/>
      <c r="D2" s="337"/>
      <c r="E2" s="337"/>
      <c r="F2" s="337"/>
      <c r="G2" s="337"/>
      <c r="H2" s="337"/>
      <c r="I2" s="338"/>
    </row>
    <row r="3" spans="1:9" ht="13.15" thickTop="1" x14ac:dyDescent="0.35">
      <c r="A3" s="339" t="s">
        <v>1</v>
      </c>
      <c r="B3" s="341" t="s">
        <v>2</v>
      </c>
      <c r="C3" s="343">
        <v>1</v>
      </c>
      <c r="D3" s="343">
        <f>+C3+1</f>
        <v>2</v>
      </c>
      <c r="E3" s="343">
        <f>+D3+1</f>
        <v>3</v>
      </c>
      <c r="F3" s="343">
        <f>+E3+1</f>
        <v>4</v>
      </c>
      <c r="G3" s="343">
        <f>+F3+1</f>
        <v>5</v>
      </c>
      <c r="H3" s="343">
        <f>+G3+1</f>
        <v>6</v>
      </c>
      <c r="I3" s="345" t="s">
        <v>3</v>
      </c>
    </row>
    <row r="4" spans="1:9" ht="13.15" thickBot="1" x14ac:dyDescent="0.4">
      <c r="A4" s="340"/>
      <c r="B4" s="342"/>
      <c r="C4" s="344"/>
      <c r="D4" s="344"/>
      <c r="E4" s="344"/>
      <c r="F4" s="344"/>
      <c r="G4" s="344"/>
      <c r="H4" s="344"/>
      <c r="I4" s="346"/>
    </row>
    <row r="5" spans="1:9" ht="13.15" thickTop="1" x14ac:dyDescent="0.35">
      <c r="A5" s="2" t="str">
        <f>+'[2]Complementos de mujer'!A5</f>
        <v>Canon</v>
      </c>
      <c r="B5" s="57">
        <f>IF(B$24=0,0,D99)</f>
        <v>200000</v>
      </c>
      <c r="C5" s="216"/>
      <c r="D5" s="217"/>
      <c r="E5" s="217"/>
      <c r="F5" s="218">
        <f>IF($D$43=1,B43,0)</f>
        <v>-20000</v>
      </c>
      <c r="G5" s="217"/>
      <c r="H5" s="219"/>
      <c r="I5" s="57">
        <f>SUM(B5:H5)</f>
        <v>180000</v>
      </c>
    </row>
    <row r="6" spans="1:9" x14ac:dyDescent="0.35">
      <c r="A6" s="2" t="s">
        <v>5</v>
      </c>
      <c r="B6" s="84">
        <v>0</v>
      </c>
      <c r="C6" s="216"/>
      <c r="D6" s="218">
        <v>59215</v>
      </c>
      <c r="E6" s="218"/>
      <c r="F6" s="218"/>
      <c r="G6" s="218"/>
      <c r="H6" s="220"/>
      <c r="I6" s="84">
        <f>SUM(B6:H6)</f>
        <v>59215</v>
      </c>
    </row>
    <row r="7" spans="1:9" x14ac:dyDescent="0.35">
      <c r="A7" s="2" t="s">
        <v>6</v>
      </c>
      <c r="B7" s="84">
        <v>0</v>
      </c>
      <c r="C7" s="216">
        <v>100000</v>
      </c>
      <c r="D7" s="218"/>
      <c r="E7" s="218"/>
      <c r="F7" s="218"/>
      <c r="G7" s="218"/>
      <c r="H7" s="220"/>
      <c r="I7" s="84">
        <f>SUM(B7:H7)</f>
        <v>100000</v>
      </c>
    </row>
    <row r="8" spans="1:9" ht="13.15" thickBot="1" x14ac:dyDescent="0.4">
      <c r="A8" s="2" t="s">
        <v>7</v>
      </c>
      <c r="B8" s="84">
        <f>IF(B$24=0,0,B21+B13-B5)</f>
        <v>50000</v>
      </c>
      <c r="C8" s="216">
        <f>IF($D$37=1,B38-C7,0)</f>
        <v>1300000</v>
      </c>
      <c r="D8" s="218">
        <v>-865740</v>
      </c>
      <c r="E8" s="285">
        <f>IF($D$41=1,C54,0)</f>
        <v>-315000</v>
      </c>
      <c r="G8" s="218">
        <f>IF($D$45=1,C55,0)</f>
        <v>-5000</v>
      </c>
      <c r="H8" s="220">
        <f>IF($D$47=1,C56,0)</f>
        <v>-55350</v>
      </c>
      <c r="I8" s="84">
        <f>SUM(B8:H8)</f>
        <v>108910</v>
      </c>
    </row>
    <row r="9" spans="1:9" ht="15.75" thickTop="1" thickBot="1" x14ac:dyDescent="0.4">
      <c r="A9" s="8" t="s">
        <v>8</v>
      </c>
      <c r="B9" s="9">
        <f t="shared" ref="B9:I9" si="0">SUM(B5:B8)</f>
        <v>250000</v>
      </c>
      <c r="C9" s="221">
        <f t="shared" si="0"/>
        <v>1400000</v>
      </c>
      <c r="D9" s="10">
        <f t="shared" si="0"/>
        <v>-806525</v>
      </c>
      <c r="E9" s="10">
        <f t="shared" si="0"/>
        <v>-315000</v>
      </c>
      <c r="F9" s="10">
        <f t="shared" si="0"/>
        <v>-20000</v>
      </c>
      <c r="G9" s="10">
        <f t="shared" si="0"/>
        <v>-5000</v>
      </c>
      <c r="H9" s="10">
        <f t="shared" si="0"/>
        <v>-55350</v>
      </c>
      <c r="I9" s="9">
        <f t="shared" si="0"/>
        <v>448125</v>
      </c>
    </row>
    <row r="10" spans="1:9" ht="15.75" thickTop="1" thickBot="1" x14ac:dyDescent="0.4">
      <c r="A10" s="11"/>
      <c r="B10" s="12"/>
      <c r="C10" s="12"/>
      <c r="D10" s="12"/>
      <c r="E10" s="12"/>
      <c r="F10" s="12"/>
      <c r="G10" s="12"/>
      <c r="H10" s="12"/>
      <c r="I10" s="222"/>
    </row>
    <row r="11" spans="1:9" ht="13.15" thickTop="1" x14ac:dyDescent="0.35">
      <c r="A11" s="332" t="s">
        <v>9</v>
      </c>
      <c r="B11" s="326" t="str">
        <f t="shared" ref="B11:I11" si="1">+B3</f>
        <v>BALANCE INICIAL</v>
      </c>
      <c r="C11" s="334">
        <f t="shared" si="1"/>
        <v>1</v>
      </c>
      <c r="D11" s="324">
        <f t="shared" si="1"/>
        <v>2</v>
      </c>
      <c r="E11" s="324">
        <f t="shared" si="1"/>
        <v>3</v>
      </c>
      <c r="F11" s="324">
        <f t="shared" si="1"/>
        <v>4</v>
      </c>
      <c r="G11" s="324">
        <f t="shared" si="1"/>
        <v>5</v>
      </c>
      <c r="H11" s="387">
        <f t="shared" si="1"/>
        <v>6</v>
      </c>
      <c r="I11" s="326" t="str">
        <f t="shared" si="1"/>
        <v>BALANCE FINAL</v>
      </c>
    </row>
    <row r="12" spans="1:9" ht="13.15" thickBot="1" x14ac:dyDescent="0.4">
      <c r="A12" s="333"/>
      <c r="B12" s="327"/>
      <c r="C12" s="335"/>
      <c r="D12" s="325"/>
      <c r="E12" s="325"/>
      <c r="F12" s="325"/>
      <c r="G12" s="325"/>
      <c r="H12" s="388"/>
      <c r="I12" s="327"/>
    </row>
    <row r="13" spans="1:9" ht="13.15" thickTop="1" x14ac:dyDescent="0.35">
      <c r="A13" s="14" t="s">
        <v>10</v>
      </c>
      <c r="B13" s="57">
        <f>IF(B$24=0,0,D100)</f>
        <v>100000</v>
      </c>
      <c r="C13" s="223"/>
      <c r="D13" s="217"/>
      <c r="E13" s="217"/>
      <c r="F13" s="217"/>
      <c r="G13" s="217"/>
      <c r="H13" s="219"/>
      <c r="I13" s="84">
        <f>SUM(B13:H13)</f>
        <v>100000</v>
      </c>
    </row>
    <row r="14" spans="1:9" x14ac:dyDescent="0.35">
      <c r="A14" s="2" t="s">
        <v>11</v>
      </c>
      <c r="B14" s="84"/>
      <c r="C14" s="216"/>
      <c r="D14" s="218">
        <v>32075</v>
      </c>
      <c r="E14" s="218"/>
      <c r="F14" s="218"/>
      <c r="G14" s="218"/>
      <c r="H14" s="220"/>
      <c r="I14" s="84">
        <f>SUM(B14:H14)</f>
        <v>32075</v>
      </c>
    </row>
    <row r="15" spans="1:9" x14ac:dyDescent="0.35">
      <c r="A15" s="2" t="s">
        <v>12</v>
      </c>
      <c r="B15" s="84"/>
      <c r="C15" s="216"/>
      <c r="D15" s="218"/>
      <c r="E15" s="218"/>
      <c r="F15" s="218"/>
      <c r="G15" s="218"/>
      <c r="H15" s="220"/>
      <c r="I15" s="84">
        <f>SUM(B15:H15)</f>
        <v>0</v>
      </c>
    </row>
    <row r="16" spans="1:9" ht="13.15" thickBot="1" x14ac:dyDescent="0.4">
      <c r="A16" s="2" t="s">
        <v>13</v>
      </c>
      <c r="B16" s="84"/>
      <c r="C16" s="216"/>
      <c r="D16" s="218"/>
      <c r="E16" s="218"/>
      <c r="F16" s="218"/>
      <c r="G16" s="218"/>
      <c r="H16" s="220"/>
      <c r="I16" s="84">
        <f>SUM(B16:H16)</f>
        <v>0</v>
      </c>
    </row>
    <row r="17" spans="1:11" ht="13.9" thickTop="1" thickBot="1" x14ac:dyDescent="0.45">
      <c r="A17" s="17" t="s">
        <v>15</v>
      </c>
      <c r="B17" s="18">
        <f t="shared" ref="B17:I17" si="2">SUM(B13:B16)</f>
        <v>100000</v>
      </c>
      <c r="C17" s="224">
        <f t="shared" si="2"/>
        <v>0</v>
      </c>
      <c r="D17" s="18">
        <f t="shared" si="2"/>
        <v>32075</v>
      </c>
      <c r="E17" s="18">
        <f t="shared" si="2"/>
        <v>0</v>
      </c>
      <c r="F17" s="18">
        <f t="shared" si="2"/>
        <v>0</v>
      </c>
      <c r="G17" s="18">
        <f t="shared" si="2"/>
        <v>0</v>
      </c>
      <c r="H17" s="225">
        <f t="shared" si="2"/>
        <v>0</v>
      </c>
      <c r="I17" s="18">
        <f t="shared" si="2"/>
        <v>132075</v>
      </c>
      <c r="K17" s="31"/>
    </row>
    <row r="18" spans="1:11" ht="13.9" thickTop="1" thickBot="1" x14ac:dyDescent="0.45">
      <c r="A18" s="19"/>
      <c r="B18" s="12"/>
      <c r="C18" s="226"/>
      <c r="D18" s="226"/>
      <c r="E18" s="226"/>
      <c r="F18" s="226"/>
      <c r="G18" s="226"/>
      <c r="H18" s="226"/>
      <c r="I18" s="222"/>
    </row>
    <row r="19" spans="1:11" ht="13.15" thickTop="1" x14ac:dyDescent="0.35">
      <c r="A19" s="328" t="s">
        <v>16</v>
      </c>
      <c r="B19" s="311" t="s">
        <v>2</v>
      </c>
      <c r="C19" s="330">
        <f t="shared" ref="C19:H19" si="3">+C11</f>
        <v>1</v>
      </c>
      <c r="D19" s="309">
        <f t="shared" si="3"/>
        <v>2</v>
      </c>
      <c r="E19" s="309">
        <f t="shared" si="3"/>
        <v>3</v>
      </c>
      <c r="F19" s="309">
        <f t="shared" si="3"/>
        <v>4</v>
      </c>
      <c r="G19" s="309">
        <f t="shared" si="3"/>
        <v>5</v>
      </c>
      <c r="H19" s="391">
        <f t="shared" si="3"/>
        <v>6</v>
      </c>
      <c r="I19" s="311" t="s">
        <v>3</v>
      </c>
    </row>
    <row r="20" spans="1:11" ht="13.15" thickBot="1" x14ac:dyDescent="0.4">
      <c r="A20" s="329"/>
      <c r="B20" s="312"/>
      <c r="C20" s="331"/>
      <c r="D20" s="310"/>
      <c r="E20" s="310"/>
      <c r="F20" s="310"/>
      <c r="G20" s="310"/>
      <c r="H20" s="392"/>
      <c r="I20" s="312"/>
    </row>
    <row r="21" spans="1:11" ht="13.15" thickTop="1" x14ac:dyDescent="0.35">
      <c r="A21" s="14" t="s">
        <v>17</v>
      </c>
      <c r="B21" s="57">
        <f>IF(B$24=0,0,D101)</f>
        <v>150000</v>
      </c>
      <c r="C21" s="223"/>
      <c r="D21" s="217"/>
      <c r="E21" s="217"/>
      <c r="F21" s="217"/>
      <c r="G21" s="217"/>
      <c r="H21" s="219"/>
      <c r="I21" s="57">
        <f>SUM(B21:H21)</f>
        <v>150000</v>
      </c>
    </row>
    <row r="22" spans="1:11" ht="13.15" thickBot="1" x14ac:dyDescent="0.4">
      <c r="A22" s="22" t="s">
        <v>18</v>
      </c>
      <c r="B22" s="84"/>
      <c r="C22" s="216">
        <f>IF($D$37=1,B37,0)</f>
        <v>1400000</v>
      </c>
      <c r="D22" s="227">
        <f>IF($D$39=1,B39,0)</f>
        <v>-838600</v>
      </c>
      <c r="E22" s="218">
        <f>IF($D$41=1,B41,0)</f>
        <v>-315000</v>
      </c>
      <c r="F22" s="218">
        <f>IF($D$43=1,B43,0)</f>
        <v>-20000</v>
      </c>
      <c r="G22" s="218">
        <f>IF($D$45=1,B45,0)</f>
        <v>-5000</v>
      </c>
      <c r="H22" s="220">
        <f>IF($D$47=1,B47,0)</f>
        <v>-55350</v>
      </c>
      <c r="I22" s="84">
        <f>SUM(B22:H22)</f>
        <v>166050</v>
      </c>
    </row>
    <row r="23" spans="1:11" ht="15.75" thickTop="1" thickBot="1" x14ac:dyDescent="0.4">
      <c r="A23" s="23" t="s">
        <v>19</v>
      </c>
      <c r="B23" s="24">
        <f t="shared" ref="B23:I23" si="4">SUM(B21:B22)</f>
        <v>150000</v>
      </c>
      <c r="C23" s="228">
        <f t="shared" si="4"/>
        <v>1400000</v>
      </c>
      <c r="D23" s="24">
        <f t="shared" si="4"/>
        <v>-838600</v>
      </c>
      <c r="E23" s="24">
        <f t="shared" si="4"/>
        <v>-315000</v>
      </c>
      <c r="F23" s="24">
        <f t="shared" si="4"/>
        <v>-20000</v>
      </c>
      <c r="G23" s="24">
        <f t="shared" si="4"/>
        <v>-5000</v>
      </c>
      <c r="H23" s="229">
        <f t="shared" si="4"/>
        <v>-55350</v>
      </c>
      <c r="I23" s="24">
        <f t="shared" si="4"/>
        <v>316050</v>
      </c>
    </row>
    <row r="24" spans="1:11" ht="15.4" thickTop="1" x14ac:dyDescent="0.35">
      <c r="A24" s="230"/>
      <c r="B24" s="26">
        <v>1</v>
      </c>
      <c r="C24" s="231"/>
      <c r="D24" s="231"/>
      <c r="E24" s="231"/>
      <c r="F24" s="231"/>
      <c r="G24" s="231"/>
      <c r="H24" s="231"/>
      <c r="I24" s="231"/>
    </row>
    <row r="25" spans="1:11" x14ac:dyDescent="0.35">
      <c r="A25" s="232" t="s">
        <v>20</v>
      </c>
      <c r="B25" s="29">
        <f t="shared" ref="B25:I25" si="5">+B9-B17-B23</f>
        <v>0</v>
      </c>
      <c r="C25" s="29">
        <f t="shared" si="5"/>
        <v>0</v>
      </c>
      <c r="D25" s="29">
        <f t="shared" si="5"/>
        <v>0</v>
      </c>
      <c r="E25" s="29">
        <f t="shared" si="5"/>
        <v>0</v>
      </c>
      <c r="F25" s="29">
        <f t="shared" si="5"/>
        <v>0</v>
      </c>
      <c r="G25" s="29">
        <f t="shared" si="5"/>
        <v>0</v>
      </c>
      <c r="H25" s="29">
        <f t="shared" si="5"/>
        <v>0</v>
      </c>
      <c r="I25" s="29">
        <f t="shared" si="5"/>
        <v>0</v>
      </c>
    </row>
    <row r="26" spans="1:11" x14ac:dyDescent="0.35">
      <c r="B26" s="31">
        <f>+B9-B17-B23</f>
        <v>0</v>
      </c>
      <c r="C26" s="31"/>
      <c r="D26" s="31"/>
      <c r="E26" s="31"/>
      <c r="F26" s="31"/>
      <c r="G26" s="233"/>
      <c r="H26" s="234"/>
      <c r="I26" s="234"/>
    </row>
    <row r="27" spans="1:11" x14ac:dyDescent="0.35">
      <c r="G27" s="233"/>
      <c r="H27" s="234"/>
      <c r="I27" s="234"/>
    </row>
    <row r="28" spans="1:11" x14ac:dyDescent="0.35">
      <c r="G28" s="233"/>
      <c r="H28" s="234"/>
      <c r="I28" s="234"/>
    </row>
    <row r="29" spans="1:11" x14ac:dyDescent="0.35">
      <c r="G29" s="233"/>
      <c r="H29" s="234"/>
      <c r="I29" s="234"/>
    </row>
    <row r="30" spans="1:11" x14ac:dyDescent="0.35">
      <c r="G30" s="233"/>
      <c r="H30" s="234"/>
      <c r="I30" s="234"/>
    </row>
    <row r="31" spans="1:11" x14ac:dyDescent="0.35">
      <c r="G31" s="233"/>
      <c r="H31" s="234"/>
      <c r="I31" s="234"/>
    </row>
    <row r="32" spans="1:11" x14ac:dyDescent="0.35">
      <c r="G32" s="233"/>
      <c r="H32" s="234"/>
      <c r="I32" s="234"/>
    </row>
    <row r="33" spans="1:9" x14ac:dyDescent="0.35">
      <c r="G33" s="233"/>
      <c r="H33" s="234"/>
      <c r="I33" s="234"/>
    </row>
    <row r="34" spans="1:9" ht="13.15" thickBot="1" x14ac:dyDescent="0.4">
      <c r="B34" s="31"/>
      <c r="C34" s="31"/>
      <c r="D34" s="31"/>
      <c r="E34" s="31"/>
      <c r="F34" s="31"/>
      <c r="G34" s="233"/>
      <c r="H34" s="234"/>
      <c r="I34" s="234"/>
    </row>
    <row r="35" spans="1:9" ht="13.15" thickTop="1" x14ac:dyDescent="0.35">
      <c r="A35" s="318" t="s">
        <v>32</v>
      </c>
      <c r="B35" s="320" t="s">
        <v>33</v>
      </c>
      <c r="C35" s="322" t="s">
        <v>34</v>
      </c>
      <c r="D35" s="235"/>
      <c r="E35" s="235"/>
    </row>
    <row r="36" spans="1:9" ht="13.15" thickBot="1" x14ac:dyDescent="0.4">
      <c r="A36" s="319"/>
      <c r="B36" s="321"/>
      <c r="C36" s="323"/>
    </row>
    <row r="37" spans="1:9" ht="13.5" thickTop="1" x14ac:dyDescent="0.4">
      <c r="A37" s="56" t="s">
        <v>35</v>
      </c>
      <c r="B37" s="57">
        <f>IF($D37=1,G78,0)</f>
        <v>1400000</v>
      </c>
      <c r="C37" s="58">
        <f t="shared" ref="C37:C48" si="6">+B37/$B$37</f>
        <v>1</v>
      </c>
      <c r="D37" s="26">
        <v>1</v>
      </c>
      <c r="E37" s="59" t="s">
        <v>36</v>
      </c>
    </row>
    <row r="38" spans="1:9" ht="13.5" thickBot="1" x14ac:dyDescent="0.45">
      <c r="A38" s="60" t="s">
        <v>37</v>
      </c>
      <c r="B38" s="61">
        <f>+B37</f>
        <v>1400000</v>
      </c>
      <c r="C38" s="62">
        <f t="shared" si="6"/>
        <v>1</v>
      </c>
    </row>
    <row r="39" spans="1:9" ht="13.15" thickTop="1" x14ac:dyDescent="0.35">
      <c r="A39" s="63" t="s">
        <v>38</v>
      </c>
      <c r="B39" s="57">
        <f>IF($D39=1,G80,0)</f>
        <v>-838600</v>
      </c>
      <c r="C39" s="64">
        <f t="shared" si="6"/>
        <v>-0.59899999999999998</v>
      </c>
      <c r="D39" s="26">
        <v>1</v>
      </c>
      <c r="E39" s="59" t="s">
        <v>39</v>
      </c>
    </row>
    <row r="40" spans="1:9" ht="13.15" x14ac:dyDescent="0.4">
      <c r="A40" s="65" t="s">
        <v>40</v>
      </c>
      <c r="B40" s="66">
        <f>+B37+B39</f>
        <v>561400</v>
      </c>
      <c r="C40" s="67">
        <f t="shared" si="6"/>
        <v>0.40100000000000002</v>
      </c>
    </row>
    <row r="41" spans="1:9" x14ac:dyDescent="0.35">
      <c r="A41" s="287" t="s">
        <v>41</v>
      </c>
      <c r="B41" s="289">
        <v>-315000</v>
      </c>
      <c r="C41" s="290">
        <f t="shared" si="6"/>
        <v>-0.22500000000000001</v>
      </c>
      <c r="D41" s="26">
        <v>1</v>
      </c>
      <c r="E41" s="59" t="s">
        <v>42</v>
      </c>
    </row>
    <row r="42" spans="1:9" ht="13.15" x14ac:dyDescent="0.4">
      <c r="A42" s="71" t="s">
        <v>43</v>
      </c>
      <c r="B42" s="72">
        <f>+B40+B41</f>
        <v>246400</v>
      </c>
      <c r="C42" s="67">
        <f t="shared" si="6"/>
        <v>0.17599999999999999</v>
      </c>
      <c r="F42" s="73"/>
      <c r="G42" s="73"/>
      <c r="H42" s="73"/>
    </row>
    <row r="43" spans="1:9" x14ac:dyDescent="0.35">
      <c r="A43" s="68" t="s">
        <v>44</v>
      </c>
      <c r="B43" s="69">
        <f>IF($D43=1,-B5/10,0)</f>
        <v>-20000</v>
      </c>
      <c r="C43" s="70">
        <f t="shared" si="6"/>
        <v>-1.4285714285714285E-2</v>
      </c>
      <c r="D43" s="26">
        <v>1</v>
      </c>
      <c r="E43" s="59" t="s">
        <v>45</v>
      </c>
      <c r="F43" s="74"/>
      <c r="G43" s="74"/>
      <c r="H43" s="74"/>
    </row>
    <row r="44" spans="1:9" ht="13.15" x14ac:dyDescent="0.4">
      <c r="A44" s="71" t="s">
        <v>46</v>
      </c>
      <c r="B44" s="72">
        <f>+B42+B43</f>
        <v>226400</v>
      </c>
      <c r="C44" s="67">
        <f t="shared" si="6"/>
        <v>0.16171428571428573</v>
      </c>
      <c r="F44" s="73"/>
      <c r="G44" s="73"/>
      <c r="H44" s="73"/>
    </row>
    <row r="45" spans="1:9" x14ac:dyDescent="0.35">
      <c r="A45" s="75" t="s">
        <v>47</v>
      </c>
      <c r="B45" s="69">
        <f>IF($D45=1,-B13*D86,0)</f>
        <v>-5000</v>
      </c>
      <c r="C45" s="70">
        <f t="shared" si="6"/>
        <v>-3.5714285714285713E-3</v>
      </c>
      <c r="D45" s="26">
        <v>1</v>
      </c>
      <c r="E45" s="59" t="s">
        <v>48</v>
      </c>
      <c r="F45" s="74"/>
      <c r="G45" s="74"/>
      <c r="H45" s="74"/>
    </row>
    <row r="46" spans="1:9" ht="13.15" x14ac:dyDescent="0.4">
      <c r="A46" s="71" t="s">
        <v>49</v>
      </c>
      <c r="B46" s="72">
        <f>+B44+B45</f>
        <v>221400</v>
      </c>
      <c r="C46" s="67">
        <f t="shared" si="6"/>
        <v>0.15814285714285714</v>
      </c>
      <c r="F46" s="73"/>
      <c r="G46" s="73"/>
      <c r="H46" s="73"/>
    </row>
    <row r="47" spans="1:9" x14ac:dyDescent="0.35">
      <c r="A47" s="68" t="s">
        <v>99</v>
      </c>
      <c r="B47" s="69">
        <f>IF($D47=1,-B46*D87,0)</f>
        <v>-55350</v>
      </c>
      <c r="C47" s="70">
        <f t="shared" si="6"/>
        <v>-3.9535714285714285E-2</v>
      </c>
      <c r="D47" s="26">
        <v>1</v>
      </c>
      <c r="E47" s="59" t="s">
        <v>51</v>
      </c>
      <c r="F47" s="74"/>
      <c r="G47" s="74"/>
      <c r="H47" s="74"/>
    </row>
    <row r="48" spans="1:9" ht="15" x14ac:dyDescent="0.35">
      <c r="A48" s="76" t="s">
        <v>52</v>
      </c>
      <c r="B48" s="77">
        <f>+B46+B47</f>
        <v>166050</v>
      </c>
      <c r="C48" s="78">
        <f t="shared" si="6"/>
        <v>0.11860714285714286</v>
      </c>
      <c r="D48" s="79"/>
      <c r="E48" s="79"/>
      <c r="F48" s="79"/>
      <c r="G48" s="79"/>
      <c r="H48" s="79"/>
    </row>
    <row r="49" spans="1:9" ht="13.15" thickBot="1" x14ac:dyDescent="0.4"/>
    <row r="50" spans="1:9" ht="13.15" thickTop="1" x14ac:dyDescent="0.35">
      <c r="A50" s="303" t="s">
        <v>53</v>
      </c>
      <c r="B50" s="305" t="s">
        <v>54</v>
      </c>
      <c r="C50" s="307" t="s">
        <v>53</v>
      </c>
      <c r="D50" s="235"/>
      <c r="E50" s="235"/>
      <c r="F50" s="235"/>
      <c r="G50" s="235"/>
      <c r="H50" s="235">
        <f>+H49*C40</f>
        <v>0</v>
      </c>
      <c r="I50" s="31"/>
    </row>
    <row r="51" spans="1:9" ht="13.15" thickBot="1" x14ac:dyDescent="0.4">
      <c r="A51" s="304"/>
      <c r="B51" s="306"/>
      <c r="C51" s="308"/>
      <c r="D51" s="235"/>
      <c r="E51" s="235"/>
      <c r="F51" s="235"/>
      <c r="G51" s="235"/>
      <c r="H51" s="235"/>
    </row>
    <row r="52" spans="1:9" ht="13.15" thickTop="1" x14ac:dyDescent="0.35">
      <c r="A52" s="80" t="s">
        <v>55</v>
      </c>
      <c r="B52" s="82">
        <v>0</v>
      </c>
      <c r="C52" s="82">
        <f>+C8</f>
        <v>1300000</v>
      </c>
      <c r="D52" s="236"/>
      <c r="E52" s="236"/>
      <c r="F52" s="236"/>
      <c r="G52" s="236"/>
      <c r="H52" s="236"/>
    </row>
    <row r="53" spans="1:9" x14ac:dyDescent="0.35">
      <c r="A53" s="75" t="s">
        <v>56</v>
      </c>
      <c r="B53" s="84">
        <v>0</v>
      </c>
      <c r="C53" s="84">
        <f>+D8</f>
        <v>-865740</v>
      </c>
      <c r="D53" s="31"/>
      <c r="E53" s="31"/>
      <c r="F53" s="31"/>
      <c r="G53" s="31"/>
      <c r="H53" s="31"/>
    </row>
    <row r="54" spans="1:9" x14ac:dyDescent="0.35">
      <c r="A54" s="68" t="s">
        <v>57</v>
      </c>
      <c r="B54" s="84">
        <v>0</v>
      </c>
      <c r="C54" s="84">
        <f>+B41</f>
        <v>-315000</v>
      </c>
      <c r="D54" s="31"/>
      <c r="E54" s="31"/>
      <c r="F54" s="31"/>
      <c r="G54" s="31"/>
      <c r="H54" s="31"/>
    </row>
    <row r="55" spans="1:9" x14ac:dyDescent="0.35">
      <c r="A55" s="68" t="s">
        <v>58</v>
      </c>
      <c r="B55" s="84"/>
      <c r="C55" s="84">
        <f>+B45</f>
        <v>-5000</v>
      </c>
      <c r="D55" s="31"/>
      <c r="E55" s="31"/>
      <c r="F55" s="31"/>
      <c r="G55" s="31"/>
      <c r="H55" s="31"/>
    </row>
    <row r="56" spans="1:9" ht="13.15" thickBot="1" x14ac:dyDescent="0.4">
      <c r="A56" s="68" t="s">
        <v>100</v>
      </c>
      <c r="B56" s="84"/>
      <c r="C56" s="84">
        <f>+B47</f>
        <v>-55350</v>
      </c>
      <c r="D56" s="31"/>
      <c r="E56" s="31"/>
      <c r="F56" s="31"/>
      <c r="G56" s="31"/>
      <c r="H56" s="31"/>
    </row>
    <row r="57" spans="1:9" ht="13.9" thickTop="1" thickBot="1" x14ac:dyDescent="0.45">
      <c r="A57" s="86" t="s">
        <v>60</v>
      </c>
      <c r="B57" s="87">
        <f>SUM(B52:B56)</f>
        <v>0</v>
      </c>
      <c r="C57" s="87">
        <f>SUM(C52:C56)</f>
        <v>58910</v>
      </c>
      <c r="D57" s="237"/>
      <c r="E57" s="237"/>
      <c r="F57" s="237"/>
      <c r="G57" s="237"/>
      <c r="H57" s="237"/>
    </row>
    <row r="58" spans="1:9" ht="13.15" thickTop="1" x14ac:dyDescent="0.35">
      <c r="A58" s="75" t="s">
        <v>61</v>
      </c>
      <c r="B58" s="57">
        <f>-B5</f>
        <v>-200000</v>
      </c>
      <c r="C58" s="57"/>
      <c r="D58" s="31"/>
      <c r="E58" s="31"/>
      <c r="F58" s="31"/>
      <c r="G58" s="31"/>
      <c r="H58" s="31"/>
    </row>
    <row r="59" spans="1:9" ht="13.15" thickBot="1" x14ac:dyDescent="0.4">
      <c r="A59" s="75"/>
      <c r="B59" s="238"/>
      <c r="C59" s="84">
        <f>SUM(B59:B59)</f>
        <v>0</v>
      </c>
      <c r="D59" s="31"/>
      <c r="E59" s="31"/>
      <c r="F59" s="31"/>
      <c r="G59" s="31"/>
      <c r="H59" s="31"/>
    </row>
    <row r="60" spans="1:9" ht="13.9" thickTop="1" thickBot="1" x14ac:dyDescent="0.45">
      <c r="A60" s="86" t="s">
        <v>62</v>
      </c>
      <c r="B60" s="87">
        <f>+B57+B58</f>
        <v>-200000</v>
      </c>
      <c r="C60" s="87">
        <f>+C58</f>
        <v>0</v>
      </c>
      <c r="D60" s="237"/>
      <c r="E60" s="237"/>
      <c r="F60" s="237"/>
      <c r="G60" s="237"/>
      <c r="H60" s="237"/>
    </row>
    <row r="61" spans="1:9" ht="13.15" thickTop="1" x14ac:dyDescent="0.35">
      <c r="A61" s="68" t="s">
        <v>63</v>
      </c>
      <c r="B61" s="84">
        <f>+B13</f>
        <v>100000</v>
      </c>
      <c r="C61" s="84"/>
      <c r="D61" s="31"/>
      <c r="E61" s="31"/>
      <c r="F61" s="31"/>
      <c r="G61" s="31"/>
      <c r="H61" s="31"/>
    </row>
    <row r="62" spans="1:9" x14ac:dyDescent="0.35">
      <c r="A62" s="68" t="s">
        <v>64</v>
      </c>
      <c r="B62" s="84">
        <f>+B21</f>
        <v>150000</v>
      </c>
      <c r="C62" s="84"/>
      <c r="D62" s="31"/>
      <c r="E62" s="31"/>
      <c r="F62" s="31"/>
      <c r="G62" s="31"/>
      <c r="H62" s="31"/>
    </row>
    <row r="63" spans="1:9" ht="13.15" thickBot="1" x14ac:dyDescent="0.4">
      <c r="A63" s="68" t="s">
        <v>65</v>
      </c>
      <c r="B63" s="84" t="e">
        <f>+#REF!</f>
        <v>#REF!</v>
      </c>
      <c r="C63" s="84">
        <f>IF(B67+C57+C60+C61+C62&lt;0,-(B67+C57+C60+C61+C62),0)</f>
        <v>0</v>
      </c>
      <c r="D63" s="31"/>
      <c r="E63" s="31"/>
      <c r="F63" s="31"/>
      <c r="G63" s="31"/>
      <c r="H63" s="31"/>
    </row>
    <row r="64" spans="1:9" ht="13.9" thickTop="1" thickBot="1" x14ac:dyDescent="0.45">
      <c r="A64" s="239" t="s">
        <v>66</v>
      </c>
      <c r="B64" s="91">
        <f>+B62+B61</f>
        <v>250000</v>
      </c>
      <c r="C64" s="91">
        <f>+C62+C61</f>
        <v>0</v>
      </c>
      <c r="D64" s="240"/>
      <c r="E64" s="240"/>
      <c r="F64" s="240"/>
      <c r="G64" s="240"/>
      <c r="H64" s="240"/>
    </row>
    <row r="65" spans="1:11" ht="15.75" thickTop="1" thickBot="1" x14ac:dyDescent="0.4">
      <c r="A65" s="93" t="s">
        <v>67</v>
      </c>
      <c r="B65" s="241">
        <f>+B57+B60+B64</f>
        <v>50000</v>
      </c>
      <c r="C65" s="241">
        <f>+C57+C60+C64</f>
        <v>58910</v>
      </c>
      <c r="D65" s="242"/>
      <c r="E65" s="242"/>
      <c r="F65" s="242"/>
      <c r="G65" s="242"/>
      <c r="H65" s="242"/>
    </row>
    <row r="66" spans="1:11" ht="13.9" thickTop="1" thickBot="1" x14ac:dyDescent="0.4">
      <c r="A66" s="96" t="s">
        <v>68</v>
      </c>
      <c r="B66" s="84">
        <v>0</v>
      </c>
      <c r="C66" s="97">
        <f>+B67</f>
        <v>50000</v>
      </c>
      <c r="D66" s="231"/>
      <c r="E66" s="231"/>
      <c r="F66" s="231"/>
      <c r="G66" s="231"/>
      <c r="H66" s="231"/>
    </row>
    <row r="67" spans="1:11" ht="13.9" thickTop="1" thickBot="1" x14ac:dyDescent="0.4">
      <c r="A67" s="98" t="s">
        <v>69</v>
      </c>
      <c r="B67" s="99">
        <f>+B65+B66</f>
        <v>50000</v>
      </c>
      <c r="C67" s="99">
        <f>+C65+C66</f>
        <v>108910</v>
      </c>
      <c r="D67" s="243"/>
      <c r="E67" s="243"/>
      <c r="F67" s="243"/>
      <c r="G67" s="243"/>
      <c r="H67" s="243"/>
    </row>
    <row r="68" spans="1:11" ht="13.15" thickTop="1" x14ac:dyDescent="0.35"/>
    <row r="71" spans="1:11" ht="15" x14ac:dyDescent="0.4">
      <c r="A71" s="393" t="s">
        <v>74</v>
      </c>
      <c r="B71" s="393"/>
      <c r="C71" s="393"/>
      <c r="D71" s="393"/>
      <c r="E71" s="31"/>
      <c r="F71" s="31"/>
      <c r="G71" s="31"/>
      <c r="H71" s="31"/>
      <c r="I71" s="31"/>
    </row>
    <row r="72" spans="1:11" ht="13.15" x14ac:dyDescent="0.4">
      <c r="A72" s="184"/>
      <c r="B72" s="185" t="s">
        <v>75</v>
      </c>
      <c r="C72" s="186" t="s">
        <v>76</v>
      </c>
      <c r="D72" s="186" t="s">
        <v>77</v>
      </c>
    </row>
    <row r="73" spans="1:11" ht="13.15" x14ac:dyDescent="0.4">
      <c r="A73" s="187" t="s">
        <v>78</v>
      </c>
      <c r="B73" s="188"/>
      <c r="C73" s="189"/>
      <c r="D73" s="189"/>
      <c r="E73" s="31"/>
      <c r="F73" s="31"/>
      <c r="G73" s="190"/>
    </row>
    <row r="74" spans="1:11" ht="13.15" x14ac:dyDescent="0.4">
      <c r="A74" s="191"/>
      <c r="B74" s="192"/>
      <c r="C74" s="193"/>
      <c r="D74" s="193"/>
    </row>
    <row r="75" spans="1:11" x14ac:dyDescent="0.35">
      <c r="A75" s="194" t="s">
        <v>79</v>
      </c>
      <c r="B75" s="195">
        <f>+'[2]Complementos de mujer'!B30</f>
        <v>1400000</v>
      </c>
      <c r="C75" s="198">
        <v>1</v>
      </c>
      <c r="D75" s="195">
        <f>+B75*C75</f>
        <v>1400000</v>
      </c>
      <c r="E75" s="31"/>
    </row>
    <row r="76" spans="1:11" x14ac:dyDescent="0.35">
      <c r="A76" s="194" t="s">
        <v>80</v>
      </c>
      <c r="B76" s="197"/>
      <c r="C76" s="198"/>
      <c r="D76" s="197">
        <f>+C76*B76</f>
        <v>0</v>
      </c>
      <c r="F76" s="313"/>
      <c r="G76" s="315" t="s">
        <v>21</v>
      </c>
      <c r="H76" s="394" t="s">
        <v>22</v>
      </c>
      <c r="I76" s="394"/>
      <c r="J76" s="394"/>
      <c r="K76" s="394"/>
    </row>
    <row r="77" spans="1:11" x14ac:dyDescent="0.35">
      <c r="A77" s="199" t="s">
        <v>81</v>
      </c>
      <c r="B77" s="197">
        <f>+'[2]Complementos de mujer'!C31</f>
        <v>0.35</v>
      </c>
      <c r="C77" s="198">
        <v>1</v>
      </c>
      <c r="D77" s="197">
        <f>+B77*C77</f>
        <v>0.35</v>
      </c>
      <c r="F77" s="314"/>
      <c r="G77" s="316"/>
      <c r="H77" s="200" t="str">
        <f>+'[2]Complementos de mujer'!C29</f>
        <v>BOLSOS</v>
      </c>
      <c r="I77" s="200" t="str">
        <f>+'[2]Complementos de mujer'!D29</f>
        <v>ZAPATERIA</v>
      </c>
      <c r="J77" s="200" t="str">
        <f>+'[2]Complementos de mujer'!E29</f>
        <v>JOYERIA</v>
      </c>
      <c r="K77" s="200" t="s">
        <v>26</v>
      </c>
    </row>
    <row r="78" spans="1:11" ht="13.15" x14ac:dyDescent="0.4">
      <c r="A78" s="194" t="s">
        <v>82</v>
      </c>
      <c r="B78" s="197">
        <f>+'[2]Complementos de mujer'!D31</f>
        <v>0.45</v>
      </c>
      <c r="C78" s="198">
        <v>1</v>
      </c>
      <c r="D78" s="197">
        <f>+B78*C78</f>
        <v>0.45</v>
      </c>
      <c r="F78" s="36" t="s">
        <v>27</v>
      </c>
      <c r="G78" s="38">
        <f>+D75</f>
        <v>1400000</v>
      </c>
      <c r="H78" s="38">
        <f>+$G$78*H79</f>
        <v>489999.99999999994</v>
      </c>
      <c r="I78" s="38">
        <f>+$G$78*I79</f>
        <v>630000</v>
      </c>
      <c r="J78" s="38">
        <f>+$G$78*J79</f>
        <v>70000</v>
      </c>
      <c r="K78" s="39">
        <f>+$G$78*K79</f>
        <v>210000.00000000003</v>
      </c>
    </row>
    <row r="79" spans="1:11" x14ac:dyDescent="0.35">
      <c r="A79" s="194" t="s">
        <v>83</v>
      </c>
      <c r="B79" s="197">
        <f>+'[2]Complementos de mujer'!E31</f>
        <v>0.05</v>
      </c>
      <c r="C79" s="198">
        <v>1</v>
      </c>
      <c r="D79" s="197">
        <f>+B79*C79</f>
        <v>0.05</v>
      </c>
      <c r="F79" s="40" t="s">
        <v>28</v>
      </c>
      <c r="G79" s="41">
        <f>SUM(H79:K79)</f>
        <v>1</v>
      </c>
      <c r="H79" s="201">
        <f>+D77</f>
        <v>0.35</v>
      </c>
      <c r="I79" s="201">
        <f>+D78</f>
        <v>0.45</v>
      </c>
      <c r="J79" s="201">
        <f>+D79</f>
        <v>0.05</v>
      </c>
      <c r="K79" s="201">
        <f>1-H79-I79-J79</f>
        <v>0.15000000000000002</v>
      </c>
    </row>
    <row r="80" spans="1:11" x14ac:dyDescent="0.35">
      <c r="A80" s="194" t="s">
        <v>84</v>
      </c>
      <c r="B80" s="197">
        <f>+'[2]Complementos de mujer'!F31</f>
        <v>0.15000000000000002</v>
      </c>
      <c r="C80" s="198"/>
      <c r="D80" s="197">
        <f>1-D79-D78-D77</f>
        <v>0.14999999999999997</v>
      </c>
      <c r="F80" s="44" t="s">
        <v>29</v>
      </c>
      <c r="G80" s="202">
        <f>-SUM(H80:K80)</f>
        <v>-838600</v>
      </c>
      <c r="H80" s="46">
        <f>+H78*(1-H82)</f>
        <v>284200</v>
      </c>
      <c r="I80" s="46">
        <f>+I78*(1-I82)</f>
        <v>384300</v>
      </c>
      <c r="J80" s="46">
        <f>+J78*(1-J82)</f>
        <v>23099.999999999996</v>
      </c>
      <c r="K80" s="46">
        <f>+K78*(1-K82)</f>
        <v>147000</v>
      </c>
    </row>
    <row r="81" spans="1:11" ht="13.15" x14ac:dyDescent="0.4">
      <c r="A81" s="203" t="s">
        <v>85</v>
      </c>
      <c r="B81" s="204">
        <f>+'[2]Complementos de mujer'!B34</f>
        <v>0.40100000000000002</v>
      </c>
      <c r="C81" s="205">
        <f>+D81/B81</f>
        <v>1</v>
      </c>
      <c r="D81" s="204">
        <f>+G82</f>
        <v>0.40100000000000002</v>
      </c>
      <c r="E81" s="31"/>
      <c r="F81" s="47" t="s">
        <v>30</v>
      </c>
      <c r="G81" s="48">
        <f>SUM(H81:K81)</f>
        <v>561400</v>
      </c>
      <c r="H81" s="49">
        <f>+H78-H80</f>
        <v>205799.99999999994</v>
      </c>
      <c r="I81" s="49">
        <f>+I78-I80</f>
        <v>245700</v>
      </c>
      <c r="J81" s="49">
        <f>+J78-J80</f>
        <v>46900</v>
      </c>
      <c r="K81" s="49">
        <f>+K78-K80</f>
        <v>63000.000000000029</v>
      </c>
    </row>
    <row r="82" spans="1:11" ht="13.15" x14ac:dyDescent="0.4">
      <c r="A82" s="194"/>
      <c r="B82" s="197"/>
      <c r="C82" s="198"/>
      <c r="D82" s="197"/>
      <c r="F82" s="50" t="s">
        <v>31</v>
      </c>
      <c r="G82" s="51">
        <f>+G81/G78</f>
        <v>0.40100000000000002</v>
      </c>
      <c r="H82" s="52">
        <f>+'[2]Complementos de mujer'!C34</f>
        <v>0.42</v>
      </c>
      <c r="I82" s="52">
        <f>+'[2]Complementos de mujer'!D34</f>
        <v>0.39</v>
      </c>
      <c r="J82" s="52">
        <f>+'[2]Complementos de mujer'!E34</f>
        <v>0.67</v>
      </c>
      <c r="K82" s="53">
        <f>+'[2]Complementos de mujer'!F34</f>
        <v>0.3</v>
      </c>
    </row>
    <row r="83" spans="1:11" ht="13.15" x14ac:dyDescent="0.4">
      <c r="A83" s="187" t="s">
        <v>86</v>
      </c>
      <c r="B83" s="206"/>
      <c r="C83" s="207"/>
      <c r="D83" s="206"/>
      <c r="F83" s="208"/>
      <c r="G83" s="209"/>
      <c r="H83" s="210"/>
      <c r="I83" s="210"/>
      <c r="J83" s="210"/>
      <c r="K83" s="211"/>
    </row>
    <row r="84" spans="1:11" ht="13.15" x14ac:dyDescent="0.4">
      <c r="A84" s="191"/>
      <c r="B84" s="197"/>
      <c r="C84" s="198"/>
      <c r="D84" s="197"/>
      <c r="F84" s="208"/>
      <c r="G84" s="209"/>
      <c r="H84" s="210"/>
      <c r="I84" s="210"/>
      <c r="J84" s="210"/>
      <c r="K84" s="211"/>
    </row>
    <row r="85" spans="1:11" x14ac:dyDescent="0.35">
      <c r="A85" s="194" t="s">
        <v>87</v>
      </c>
      <c r="B85" s="195">
        <f>-'[2]Complementos de mujer'!B42</f>
        <v>350000</v>
      </c>
      <c r="C85" s="198">
        <v>1</v>
      </c>
      <c r="D85" s="195">
        <f>+B85*C85</f>
        <v>350000</v>
      </c>
      <c r="E85" s="31"/>
      <c r="F85" s="31"/>
      <c r="G85" s="190"/>
    </row>
    <row r="86" spans="1:11" x14ac:dyDescent="0.35">
      <c r="A86" s="194" t="s">
        <v>88</v>
      </c>
      <c r="B86" s="197">
        <v>0.05</v>
      </c>
      <c r="C86" s="198">
        <v>1</v>
      </c>
      <c r="D86" s="197">
        <f>+B86*C86</f>
        <v>0.05</v>
      </c>
      <c r="E86" s="31"/>
      <c r="F86" s="190"/>
    </row>
    <row r="87" spans="1:11" x14ac:dyDescent="0.35">
      <c r="A87" s="194" t="s">
        <v>89</v>
      </c>
      <c r="B87" s="197">
        <v>0.25</v>
      </c>
      <c r="C87" s="198">
        <v>1</v>
      </c>
      <c r="D87" s="197">
        <f>+B87*C87</f>
        <v>0.25</v>
      </c>
      <c r="E87" s="31"/>
      <c r="F87" s="190"/>
    </row>
    <row r="88" spans="1:11" x14ac:dyDescent="0.35">
      <c r="A88" s="194"/>
      <c r="B88" s="197"/>
      <c r="C88" s="198"/>
      <c r="D88" s="197"/>
      <c r="F88" s="190"/>
    </row>
    <row r="89" spans="1:11" ht="13.15" x14ac:dyDescent="0.4">
      <c r="A89" s="187" t="s">
        <v>90</v>
      </c>
      <c r="B89" s="206"/>
      <c r="C89" s="207"/>
      <c r="D89" s="206"/>
      <c r="F89" s="190"/>
    </row>
    <row r="90" spans="1:11" ht="13.15" x14ac:dyDescent="0.4">
      <c r="A90" s="212"/>
      <c r="B90" s="213"/>
      <c r="C90" s="214"/>
      <c r="D90" s="213"/>
      <c r="F90" s="190"/>
    </row>
    <row r="91" spans="1:11" x14ac:dyDescent="0.35">
      <c r="A91" s="194" t="s">
        <v>91</v>
      </c>
      <c r="B91" s="195">
        <v>15</v>
      </c>
      <c r="C91" s="198">
        <v>1</v>
      </c>
      <c r="D91" s="215">
        <f>+B91*C91</f>
        <v>15</v>
      </c>
      <c r="E91" s="31"/>
      <c r="F91" s="31"/>
      <c r="G91" s="190"/>
    </row>
    <row r="92" spans="1:11" x14ac:dyDescent="0.35">
      <c r="A92" s="194" t="s">
        <v>92</v>
      </c>
      <c r="B92" s="195">
        <v>15</v>
      </c>
      <c r="C92" s="198">
        <v>1</v>
      </c>
      <c r="D92" s="215">
        <f>+B92*C92</f>
        <v>15</v>
      </c>
      <c r="E92" s="31"/>
      <c r="F92" s="31"/>
      <c r="G92" s="190"/>
    </row>
    <row r="93" spans="1:11" x14ac:dyDescent="0.35">
      <c r="A93" s="194" t="s">
        <v>93</v>
      </c>
      <c r="B93" s="195">
        <v>30</v>
      </c>
      <c r="C93" s="198">
        <v>1</v>
      </c>
      <c r="D93" s="195">
        <f>+C93*B93</f>
        <v>30</v>
      </c>
      <c r="E93" s="31"/>
      <c r="F93" s="31"/>
      <c r="G93" s="190"/>
    </row>
    <row r="94" spans="1:11" x14ac:dyDescent="0.35">
      <c r="B94" s="31"/>
      <c r="F94" s="190"/>
    </row>
    <row r="95" spans="1:11" x14ac:dyDescent="0.35">
      <c r="A95" s="194" t="s">
        <v>94</v>
      </c>
      <c r="B95" s="31"/>
      <c r="D95" s="195">
        <f>-(+B39+(B39/360)*D93)</f>
        <v>908483.33333333337</v>
      </c>
      <c r="F95" s="190"/>
    </row>
    <row r="96" spans="1:11" x14ac:dyDescent="0.35">
      <c r="F96" s="190"/>
    </row>
    <row r="97" spans="1:6" ht="13.15" x14ac:dyDescent="0.4">
      <c r="A97" s="187" t="s">
        <v>95</v>
      </c>
      <c r="B97" s="206"/>
      <c r="C97" s="207"/>
      <c r="D97" s="206"/>
      <c r="F97" s="190"/>
    </row>
    <row r="98" spans="1:6" ht="13.15" x14ac:dyDescent="0.4">
      <c r="A98" s="212"/>
      <c r="B98" s="213"/>
      <c r="C98" s="214"/>
      <c r="D98" s="213"/>
      <c r="F98" s="190"/>
    </row>
    <row r="99" spans="1:6" x14ac:dyDescent="0.35">
      <c r="A99" s="194" t="s">
        <v>96</v>
      </c>
      <c r="B99" s="195">
        <f>+'[2]Complementos de mujer'!B5</f>
        <v>200000</v>
      </c>
      <c r="C99" s="198">
        <v>1</v>
      </c>
      <c r="D99" s="195">
        <f>+B99*C99</f>
        <v>200000</v>
      </c>
      <c r="E99" s="31"/>
      <c r="F99" s="190"/>
    </row>
    <row r="100" spans="1:6" x14ac:dyDescent="0.35">
      <c r="A100" s="194" t="s">
        <v>97</v>
      </c>
      <c r="B100" s="195">
        <f>+'[2]Complementos de mujer'!B13</f>
        <v>100000</v>
      </c>
      <c r="C100" s="198">
        <v>1</v>
      </c>
      <c r="D100" s="195">
        <f>+B100*C100</f>
        <v>100000</v>
      </c>
      <c r="E100" s="31"/>
      <c r="F100" s="190"/>
    </row>
    <row r="101" spans="1:6" x14ac:dyDescent="0.35">
      <c r="A101" s="194" t="s">
        <v>98</v>
      </c>
      <c r="B101" s="195">
        <f>+'[2]Complementos de mujer'!B22</f>
        <v>150000</v>
      </c>
      <c r="C101" s="198">
        <v>1</v>
      </c>
      <c r="D101" s="195">
        <f>+B101*C101</f>
        <v>150000</v>
      </c>
      <c r="E101" s="31"/>
      <c r="F101" s="190"/>
    </row>
    <row r="102" spans="1:6" x14ac:dyDescent="0.35">
      <c r="F102" s="190"/>
    </row>
    <row r="103" spans="1:6" ht="13.15" thickBot="1" x14ac:dyDescent="0.4">
      <c r="F103" s="190"/>
    </row>
    <row r="104" spans="1:6" ht="18" thickTop="1" thickBot="1" x14ac:dyDescent="0.5">
      <c r="A104" s="244" t="s">
        <v>101</v>
      </c>
      <c r="B104" s="245"/>
      <c r="C104" s="246" t="s">
        <v>102</v>
      </c>
      <c r="F104" s="190"/>
    </row>
    <row r="105" spans="1:6" ht="14.25" thickTop="1" thickBot="1" x14ac:dyDescent="0.4">
      <c r="A105" s="247" t="s">
        <v>103</v>
      </c>
      <c r="B105" s="248"/>
      <c r="C105" s="249">
        <v>37000</v>
      </c>
    </row>
    <row r="106" spans="1:6" ht="14.25" thickTop="1" thickBot="1" x14ac:dyDescent="0.4">
      <c r="A106" s="250" t="s">
        <v>104</v>
      </c>
      <c r="B106" s="251"/>
      <c r="C106" s="252">
        <v>8.8999999999999996E-2</v>
      </c>
    </row>
    <row r="107" spans="1:6" ht="14.25" thickTop="1" thickBot="1" x14ac:dyDescent="0.4">
      <c r="A107" s="247" t="s">
        <v>105</v>
      </c>
      <c r="B107" s="248"/>
      <c r="C107" s="249">
        <v>415730.3370786517</v>
      </c>
    </row>
    <row r="108" spans="1:6" ht="14.25" thickTop="1" thickBot="1" x14ac:dyDescent="0.4">
      <c r="A108" s="253" t="s">
        <v>106</v>
      </c>
      <c r="B108" s="251"/>
      <c r="C108" s="252">
        <v>0.46701238836070297</v>
      </c>
    </row>
    <row r="109" spans="1:6" ht="14.25" thickTop="1" thickBot="1" x14ac:dyDescent="0.4">
      <c r="A109" s="247" t="s">
        <v>20</v>
      </c>
      <c r="B109" s="248"/>
      <c r="C109" s="249">
        <v>0</v>
      </c>
    </row>
    <row r="110" spans="1:6" ht="13.15" thickTop="1" x14ac:dyDescent="0.35">
      <c r="A110" s="59"/>
      <c r="B110" s="254"/>
      <c r="C110" s="255"/>
    </row>
    <row r="111" spans="1:6" ht="17.649999999999999" thickBot="1" x14ac:dyDescent="0.5">
      <c r="A111" s="256" t="s">
        <v>107</v>
      </c>
      <c r="B111" s="257"/>
      <c r="C111" s="258"/>
    </row>
    <row r="112" spans="1:6" ht="13.5" thickTop="1" thickBot="1" x14ac:dyDescent="0.4">
      <c r="A112" s="259"/>
      <c r="B112" s="260"/>
      <c r="C112" s="261"/>
    </row>
    <row r="113" spans="1:3" ht="14.65" thickTop="1" thickBot="1" x14ac:dyDescent="0.45">
      <c r="A113" s="262" t="s">
        <v>108</v>
      </c>
      <c r="B113" s="263"/>
      <c r="C113" s="264">
        <f>+B44/I9</f>
        <v>0.50521617852161782</v>
      </c>
    </row>
    <row r="114" spans="1:3" ht="13.5" thickTop="1" thickBot="1" x14ac:dyDescent="0.4">
      <c r="A114" s="265" t="s">
        <v>109</v>
      </c>
      <c r="B114" s="266"/>
      <c r="C114" s="267">
        <f>+B44/B37</f>
        <v>0.16171428571428573</v>
      </c>
    </row>
    <row r="115" spans="1:3" ht="13.5" thickTop="1" thickBot="1" x14ac:dyDescent="0.4">
      <c r="A115" s="268" t="s">
        <v>110</v>
      </c>
      <c r="B115" s="269"/>
      <c r="C115" s="270">
        <f>+B37/I9</f>
        <v>3.1241283124128314</v>
      </c>
    </row>
    <row r="116" spans="1:3" ht="13.5" thickTop="1" thickBot="1" x14ac:dyDescent="0.4">
      <c r="A116" s="265" t="s">
        <v>111</v>
      </c>
      <c r="B116" s="266"/>
      <c r="C116" s="271">
        <f>+C114*C115</f>
        <v>0.50521617852161793</v>
      </c>
    </row>
    <row r="117" spans="1:3" ht="13.5" thickTop="1" thickBot="1" x14ac:dyDescent="0.4">
      <c r="C117" s="261"/>
    </row>
    <row r="118" spans="1:3" ht="14.65" thickTop="1" thickBot="1" x14ac:dyDescent="0.45">
      <c r="A118" s="262" t="s">
        <v>112</v>
      </c>
      <c r="B118" s="263"/>
      <c r="C118" s="298">
        <f>+B48/I23</f>
        <v>0.52539155196962506</v>
      </c>
    </row>
    <row r="119" spans="1:3" ht="14.65" thickTop="1" thickBot="1" x14ac:dyDescent="0.45">
      <c r="A119" s="273" t="s">
        <v>113</v>
      </c>
      <c r="B119" s="274"/>
      <c r="C119" s="275">
        <v>1.1883600136661402E-2</v>
      </c>
    </row>
    <row r="120" spans="1:3" ht="14.65" thickTop="1" thickBot="1" x14ac:dyDescent="0.45">
      <c r="A120" s="276" t="s">
        <v>114</v>
      </c>
      <c r="B120" s="277"/>
      <c r="C120" s="278">
        <v>0.36502831666059504</v>
      </c>
    </row>
    <row r="121" spans="1:3" ht="14.65" thickTop="1" thickBot="1" x14ac:dyDescent="0.45">
      <c r="A121" s="273" t="s">
        <v>115</v>
      </c>
      <c r="B121" s="274"/>
      <c r="C121" s="279">
        <v>0.95755101653770291</v>
      </c>
    </row>
    <row r="122" spans="1:3" ht="14.65" thickTop="1" thickBot="1" x14ac:dyDescent="0.45">
      <c r="A122" s="276" t="s">
        <v>116</v>
      </c>
      <c r="B122" s="277"/>
      <c r="C122" s="278">
        <v>0.75</v>
      </c>
    </row>
    <row r="123" spans="1:3" ht="14.65" thickTop="1" thickBot="1" x14ac:dyDescent="0.45">
      <c r="A123" s="273" t="s">
        <v>20</v>
      </c>
      <c r="B123" s="274"/>
      <c r="C123" s="275">
        <v>0.54483386436049175</v>
      </c>
    </row>
    <row r="124" spans="1:3" ht="13.15" thickTop="1" x14ac:dyDescent="0.35"/>
  </sheetData>
  <mergeCells count="39">
    <mergeCell ref="A71:D71"/>
    <mergeCell ref="F76:F77"/>
    <mergeCell ref="G76:G77"/>
    <mergeCell ref="H76:K76"/>
    <mergeCell ref="H19:H20"/>
    <mergeCell ref="I19:I20"/>
    <mergeCell ref="A35:A36"/>
    <mergeCell ref="B35:B36"/>
    <mergeCell ref="C35:C36"/>
    <mergeCell ref="A50:A51"/>
    <mergeCell ref="B50:B51"/>
    <mergeCell ref="C50:C51"/>
    <mergeCell ref="G11:G12"/>
    <mergeCell ref="H11:H12"/>
    <mergeCell ref="I11:I12"/>
    <mergeCell ref="A19:A20"/>
    <mergeCell ref="B19:B20"/>
    <mergeCell ref="C19:C20"/>
    <mergeCell ref="D19:D20"/>
    <mergeCell ref="E19:E20"/>
    <mergeCell ref="F19:F20"/>
    <mergeCell ref="G19:G20"/>
    <mergeCell ref="A11:A12"/>
    <mergeCell ref="B11:B12"/>
    <mergeCell ref="C11:C12"/>
    <mergeCell ref="D11:D12"/>
    <mergeCell ref="E11:E12"/>
    <mergeCell ref="F11:F12"/>
    <mergeCell ref="A1:I1"/>
    <mergeCell ref="A2:I2"/>
    <mergeCell ref="A3:A4"/>
    <mergeCell ref="B3:B4"/>
    <mergeCell ref="C3:C4"/>
    <mergeCell ref="D3:D4"/>
    <mergeCell ref="E3:E4"/>
    <mergeCell ref="F3:F4"/>
    <mergeCell ref="G3:G4"/>
    <mergeCell ref="H3:H4"/>
    <mergeCell ref="I3:I4"/>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5017C-6F60-4520-9922-CAB87F3891DF}">
  <dimension ref="A1:K124"/>
  <sheetViews>
    <sheetView workbookViewId="0">
      <selection activeCell="J88" sqref="J88"/>
    </sheetView>
  </sheetViews>
  <sheetFormatPr baseColWidth="10" defaultRowHeight="12.75" x14ac:dyDescent="0.35"/>
  <cols>
    <col min="3" max="3" width="10.6640625" customWidth="1"/>
  </cols>
  <sheetData>
    <row r="1" spans="1:9" ht="141.75" customHeight="1" thickBot="1" x14ac:dyDescent="0.4">
      <c r="A1" s="395" t="s">
        <v>129</v>
      </c>
      <c r="B1" s="397"/>
      <c r="C1" s="397"/>
      <c r="D1" s="397"/>
      <c r="E1" s="397"/>
      <c r="F1" s="397"/>
      <c r="G1" s="397"/>
      <c r="H1" s="397"/>
      <c r="I1" s="397"/>
    </row>
    <row r="2" spans="1:9" ht="18" thickTop="1" thickBot="1" x14ac:dyDescent="0.5">
      <c r="A2" s="336" t="s">
        <v>0</v>
      </c>
      <c r="B2" s="337"/>
      <c r="C2" s="337"/>
      <c r="D2" s="337"/>
      <c r="E2" s="337"/>
      <c r="F2" s="337"/>
      <c r="G2" s="337"/>
      <c r="H2" s="337"/>
      <c r="I2" s="338"/>
    </row>
    <row r="3" spans="1:9" ht="13.15" thickTop="1" x14ac:dyDescent="0.35">
      <c r="A3" s="339" t="s">
        <v>1</v>
      </c>
      <c r="B3" s="341" t="s">
        <v>2</v>
      </c>
      <c r="C3" s="343">
        <v>1</v>
      </c>
      <c r="D3" s="343">
        <f>+C3+1</f>
        <v>2</v>
      </c>
      <c r="E3" s="343">
        <f>+D3+1</f>
        <v>3</v>
      </c>
      <c r="F3" s="343">
        <f>+E3+1</f>
        <v>4</v>
      </c>
      <c r="G3" s="343">
        <f>+F3+1</f>
        <v>5</v>
      </c>
      <c r="H3" s="343">
        <f>+G3+1</f>
        <v>6</v>
      </c>
      <c r="I3" s="345" t="s">
        <v>3</v>
      </c>
    </row>
    <row r="4" spans="1:9" ht="13.15" thickBot="1" x14ac:dyDescent="0.4">
      <c r="A4" s="340"/>
      <c r="B4" s="342"/>
      <c r="C4" s="344"/>
      <c r="D4" s="344"/>
      <c r="E4" s="344"/>
      <c r="F4" s="344"/>
      <c r="G4" s="344"/>
      <c r="H4" s="344"/>
      <c r="I4" s="346"/>
    </row>
    <row r="5" spans="1:9" ht="13.15" thickTop="1" x14ac:dyDescent="0.35">
      <c r="A5" s="2" t="str">
        <f>+'[2]Complementos de mujer'!A5</f>
        <v>Canon</v>
      </c>
      <c r="B5" s="57">
        <f>IF(B$24=0,0,D99)</f>
        <v>200000</v>
      </c>
      <c r="C5" s="216"/>
      <c r="D5" s="217"/>
      <c r="E5" s="217"/>
      <c r="F5" s="218">
        <f>IF($D$43=1,B43,0)</f>
        <v>-20000</v>
      </c>
      <c r="G5" s="217"/>
      <c r="H5" s="219"/>
      <c r="I5" s="57">
        <f>SUM(B5:H5)</f>
        <v>180000</v>
      </c>
    </row>
    <row r="6" spans="1:9" x14ac:dyDescent="0.35">
      <c r="A6" s="2" t="s">
        <v>5</v>
      </c>
      <c r="B6" s="84">
        <v>0</v>
      </c>
      <c r="C6" s="216"/>
      <c r="D6" s="218">
        <v>59215</v>
      </c>
      <c r="E6" s="218"/>
      <c r="F6" s="218"/>
      <c r="G6" s="218"/>
      <c r="H6" s="220"/>
      <c r="I6" s="84">
        <f>SUM(B6:H6)</f>
        <v>59215</v>
      </c>
    </row>
    <row r="7" spans="1:9" x14ac:dyDescent="0.35">
      <c r="A7" s="2" t="s">
        <v>6</v>
      </c>
      <c r="B7" s="84">
        <v>0</v>
      </c>
      <c r="C7" s="284">
        <v>100000</v>
      </c>
      <c r="D7" s="218"/>
      <c r="E7" s="218"/>
      <c r="F7" s="218"/>
      <c r="G7" s="218"/>
      <c r="H7" s="220"/>
      <c r="I7" s="84">
        <f>SUM(B7:H7)</f>
        <v>100000</v>
      </c>
    </row>
    <row r="8" spans="1:9" ht="13.15" thickBot="1" x14ac:dyDescent="0.4">
      <c r="A8" s="2" t="s">
        <v>7</v>
      </c>
      <c r="B8" s="84">
        <f>IF(B$24=0,0,B21+B13-B5)</f>
        <v>50000</v>
      </c>
      <c r="C8" s="284">
        <f>IF($D$37=1,B38-C7,0)</f>
        <v>1440000.0000000002</v>
      </c>
      <c r="D8" s="218">
        <v>-865740</v>
      </c>
      <c r="E8" s="218">
        <f>IF($D$41=1,C54,0)</f>
        <v>-350000</v>
      </c>
      <c r="G8" s="218">
        <f>IF($D$45=1,C55,0)</f>
        <v>-5000</v>
      </c>
      <c r="H8" s="220">
        <f>IF($D$47=1,C56,0)</f>
        <v>-75072.500000000029</v>
      </c>
      <c r="I8" s="84">
        <f>SUM(B8:H8)</f>
        <v>194187.5000000002</v>
      </c>
    </row>
    <row r="9" spans="1:9" ht="15.75" thickTop="1" thickBot="1" x14ac:dyDescent="0.4">
      <c r="A9" s="8" t="s">
        <v>8</v>
      </c>
      <c r="B9" s="9">
        <f t="shared" ref="B9:I9" si="0">SUM(B5:B8)</f>
        <v>250000</v>
      </c>
      <c r="C9" s="221">
        <f t="shared" si="0"/>
        <v>1540000.0000000002</v>
      </c>
      <c r="D9" s="10">
        <f t="shared" si="0"/>
        <v>-806525</v>
      </c>
      <c r="E9" s="10">
        <f t="shared" si="0"/>
        <v>-350000</v>
      </c>
      <c r="F9" s="10">
        <f t="shared" si="0"/>
        <v>-20000</v>
      </c>
      <c r="G9" s="10">
        <f t="shared" si="0"/>
        <v>-5000</v>
      </c>
      <c r="H9" s="10">
        <f t="shared" si="0"/>
        <v>-75072.500000000029</v>
      </c>
      <c r="I9" s="9">
        <f t="shared" si="0"/>
        <v>533402.50000000023</v>
      </c>
    </row>
    <row r="10" spans="1:9" ht="15.75" thickTop="1" thickBot="1" x14ac:dyDescent="0.4">
      <c r="A10" s="11"/>
      <c r="B10" s="12"/>
      <c r="C10" s="12"/>
      <c r="D10" s="12"/>
      <c r="E10" s="12"/>
      <c r="F10" s="12"/>
      <c r="G10" s="12"/>
      <c r="H10" s="12"/>
      <c r="I10" s="222"/>
    </row>
    <row r="11" spans="1:9" ht="13.15" thickTop="1" x14ac:dyDescent="0.35">
      <c r="A11" s="332" t="s">
        <v>9</v>
      </c>
      <c r="B11" s="326" t="str">
        <f t="shared" ref="B11:I11" si="1">+B3</f>
        <v>BALANCE INICIAL</v>
      </c>
      <c r="C11" s="334">
        <f t="shared" si="1"/>
        <v>1</v>
      </c>
      <c r="D11" s="324">
        <f t="shared" si="1"/>
        <v>2</v>
      </c>
      <c r="E11" s="324">
        <f t="shared" si="1"/>
        <v>3</v>
      </c>
      <c r="F11" s="324">
        <f t="shared" si="1"/>
        <v>4</v>
      </c>
      <c r="G11" s="324">
        <f t="shared" si="1"/>
        <v>5</v>
      </c>
      <c r="H11" s="387">
        <f t="shared" si="1"/>
        <v>6</v>
      </c>
      <c r="I11" s="326" t="str">
        <f t="shared" si="1"/>
        <v>BALANCE FINAL</v>
      </c>
    </row>
    <row r="12" spans="1:9" ht="13.15" thickBot="1" x14ac:dyDescent="0.4">
      <c r="A12" s="333"/>
      <c r="B12" s="327"/>
      <c r="C12" s="335"/>
      <c r="D12" s="325"/>
      <c r="E12" s="325"/>
      <c r="F12" s="325"/>
      <c r="G12" s="325"/>
      <c r="H12" s="388"/>
      <c r="I12" s="327"/>
    </row>
    <row r="13" spans="1:9" ht="13.15" thickTop="1" x14ac:dyDescent="0.35">
      <c r="A13" s="14" t="s">
        <v>10</v>
      </c>
      <c r="B13" s="57">
        <f>IF(B$24=0,0,D100)</f>
        <v>100000</v>
      </c>
      <c r="C13" s="223"/>
      <c r="D13" s="217"/>
      <c r="E13" s="217"/>
      <c r="F13" s="217"/>
      <c r="G13" s="217"/>
      <c r="H13" s="219"/>
      <c r="I13" s="84">
        <f>SUM(B13:H13)</f>
        <v>100000</v>
      </c>
    </row>
    <row r="14" spans="1:9" x14ac:dyDescent="0.35">
      <c r="A14" s="2" t="s">
        <v>11</v>
      </c>
      <c r="B14" s="84"/>
      <c r="C14" s="216"/>
      <c r="D14" s="218">
        <v>32075</v>
      </c>
      <c r="E14" s="218"/>
      <c r="F14" s="218"/>
      <c r="G14" s="218"/>
      <c r="H14" s="220"/>
      <c r="I14" s="84">
        <f>SUM(B14:H14)</f>
        <v>32075</v>
      </c>
    </row>
    <row r="15" spans="1:9" x14ac:dyDescent="0.35">
      <c r="A15" s="2" t="s">
        <v>12</v>
      </c>
      <c r="B15" s="84"/>
      <c r="C15" s="216"/>
      <c r="D15" s="218"/>
      <c r="E15" s="218"/>
      <c r="F15" s="218"/>
      <c r="G15" s="218"/>
      <c r="H15" s="220"/>
      <c r="I15" s="84">
        <f>SUM(B15:H15)</f>
        <v>0</v>
      </c>
    </row>
    <row r="16" spans="1:9" ht="13.15" thickBot="1" x14ac:dyDescent="0.4">
      <c r="A16" s="2" t="s">
        <v>13</v>
      </c>
      <c r="B16" s="84"/>
      <c r="C16" s="216"/>
      <c r="D16" s="218"/>
      <c r="E16" s="218"/>
      <c r="F16" s="218"/>
      <c r="G16" s="218"/>
      <c r="H16" s="220"/>
      <c r="I16" s="84">
        <f>SUM(B16:H16)</f>
        <v>0</v>
      </c>
    </row>
    <row r="17" spans="1:11" ht="13.9" thickTop="1" thickBot="1" x14ac:dyDescent="0.45">
      <c r="A17" s="17" t="s">
        <v>15</v>
      </c>
      <c r="B17" s="18">
        <f t="shared" ref="B17:I17" si="2">SUM(B13:B16)</f>
        <v>100000</v>
      </c>
      <c r="C17" s="224">
        <f t="shared" si="2"/>
        <v>0</v>
      </c>
      <c r="D17" s="18">
        <f t="shared" si="2"/>
        <v>32075</v>
      </c>
      <c r="E17" s="18">
        <f t="shared" si="2"/>
        <v>0</v>
      </c>
      <c r="F17" s="18">
        <f t="shared" si="2"/>
        <v>0</v>
      </c>
      <c r="G17" s="18">
        <f t="shared" si="2"/>
        <v>0</v>
      </c>
      <c r="H17" s="225">
        <f t="shared" si="2"/>
        <v>0</v>
      </c>
      <c r="I17" s="18">
        <f t="shared" si="2"/>
        <v>132075</v>
      </c>
      <c r="K17" s="31"/>
    </row>
    <row r="18" spans="1:11" ht="13.9" thickTop="1" thickBot="1" x14ac:dyDescent="0.45">
      <c r="A18" s="19"/>
      <c r="B18" s="12"/>
      <c r="C18" s="226"/>
      <c r="D18" s="226"/>
      <c r="E18" s="226"/>
      <c r="F18" s="226"/>
      <c r="G18" s="226"/>
      <c r="H18" s="226"/>
      <c r="I18" s="222"/>
    </row>
    <row r="19" spans="1:11" ht="13.15" thickTop="1" x14ac:dyDescent="0.35">
      <c r="A19" s="328" t="s">
        <v>16</v>
      </c>
      <c r="B19" s="311" t="s">
        <v>2</v>
      </c>
      <c r="C19" s="330">
        <f t="shared" ref="C19:H19" si="3">+C11</f>
        <v>1</v>
      </c>
      <c r="D19" s="309">
        <f t="shared" si="3"/>
        <v>2</v>
      </c>
      <c r="E19" s="309">
        <f t="shared" si="3"/>
        <v>3</v>
      </c>
      <c r="F19" s="309">
        <f t="shared" si="3"/>
        <v>4</v>
      </c>
      <c r="G19" s="309">
        <f t="shared" si="3"/>
        <v>5</v>
      </c>
      <c r="H19" s="391">
        <f t="shared" si="3"/>
        <v>6</v>
      </c>
      <c r="I19" s="311" t="s">
        <v>3</v>
      </c>
    </row>
    <row r="20" spans="1:11" ht="13.15" thickBot="1" x14ac:dyDescent="0.4">
      <c r="A20" s="329"/>
      <c r="B20" s="312"/>
      <c r="C20" s="331"/>
      <c r="D20" s="310"/>
      <c r="E20" s="310"/>
      <c r="F20" s="310"/>
      <c r="G20" s="310"/>
      <c r="H20" s="392"/>
      <c r="I20" s="312"/>
    </row>
    <row r="21" spans="1:11" ht="13.15" thickTop="1" x14ac:dyDescent="0.35">
      <c r="A21" s="14" t="s">
        <v>17</v>
      </c>
      <c r="B21" s="57">
        <f>IF(B$24=0,0,D101)</f>
        <v>150000</v>
      </c>
      <c r="C21" s="223"/>
      <c r="D21" s="217"/>
      <c r="E21" s="217"/>
      <c r="F21" s="217"/>
      <c r="G21" s="217"/>
      <c r="H21" s="219"/>
      <c r="I21" s="57">
        <f>SUM(B21:H21)</f>
        <v>150000</v>
      </c>
    </row>
    <row r="22" spans="1:11" ht="13.15" thickBot="1" x14ac:dyDescent="0.4">
      <c r="A22" s="22" t="s">
        <v>18</v>
      </c>
      <c r="B22" s="84"/>
      <c r="C22" s="216">
        <f>IF($D$37=1,B37,0)</f>
        <v>1540000.0000000002</v>
      </c>
      <c r="D22" s="227">
        <f>IF($D$39=1,B39,0)</f>
        <v>-864710.00000000012</v>
      </c>
      <c r="E22" s="218">
        <f>IF($D$41=1,B41,0)</f>
        <v>-350000</v>
      </c>
      <c r="F22" s="218">
        <f>IF($D$43=1,B43,0)</f>
        <v>-20000</v>
      </c>
      <c r="G22" s="218">
        <f>IF($D$45=1,B45,0)</f>
        <v>-5000</v>
      </c>
      <c r="H22" s="220">
        <f>IF($D$47=1,B47,0)</f>
        <v>-75072.500000000029</v>
      </c>
      <c r="I22" s="84">
        <f>SUM(B22:H22)</f>
        <v>225217.50000000009</v>
      </c>
    </row>
    <row r="23" spans="1:11" ht="15.75" thickTop="1" thickBot="1" x14ac:dyDescent="0.4">
      <c r="A23" s="23" t="s">
        <v>19</v>
      </c>
      <c r="B23" s="24">
        <f t="shared" ref="B23:I23" si="4">SUM(B21:B22)</f>
        <v>150000</v>
      </c>
      <c r="C23" s="228">
        <f t="shared" si="4"/>
        <v>1540000.0000000002</v>
      </c>
      <c r="D23" s="24">
        <f t="shared" si="4"/>
        <v>-864710.00000000012</v>
      </c>
      <c r="E23" s="24">
        <f t="shared" si="4"/>
        <v>-350000</v>
      </c>
      <c r="F23" s="24">
        <f t="shared" si="4"/>
        <v>-20000</v>
      </c>
      <c r="G23" s="24">
        <f t="shared" si="4"/>
        <v>-5000</v>
      </c>
      <c r="H23" s="229">
        <f t="shared" si="4"/>
        <v>-75072.500000000029</v>
      </c>
      <c r="I23" s="24">
        <f t="shared" si="4"/>
        <v>375217.50000000012</v>
      </c>
    </row>
    <row r="24" spans="1:11" ht="15.4" thickTop="1" x14ac:dyDescent="0.35">
      <c r="A24" s="230"/>
      <c r="B24" s="26">
        <v>1</v>
      </c>
      <c r="C24" s="231"/>
      <c r="D24" s="231"/>
      <c r="E24" s="231"/>
      <c r="F24" s="231"/>
      <c r="G24" s="231"/>
      <c r="H24" s="231"/>
      <c r="I24" s="231"/>
    </row>
    <row r="25" spans="1:11" x14ac:dyDescent="0.35">
      <c r="A25" s="232" t="s">
        <v>20</v>
      </c>
      <c r="B25" s="29">
        <f t="shared" ref="B25:I25" si="5">+B9-B17-B23</f>
        <v>0</v>
      </c>
      <c r="C25" s="29">
        <f t="shared" si="5"/>
        <v>0</v>
      </c>
      <c r="D25" s="29">
        <f t="shared" si="5"/>
        <v>26110.000000000116</v>
      </c>
      <c r="E25" s="29">
        <f t="shared" si="5"/>
        <v>0</v>
      </c>
      <c r="F25" s="29">
        <f t="shared" si="5"/>
        <v>0</v>
      </c>
      <c r="G25" s="29">
        <f t="shared" si="5"/>
        <v>0</v>
      </c>
      <c r="H25" s="29">
        <f t="shared" si="5"/>
        <v>0</v>
      </c>
      <c r="I25" s="29">
        <f t="shared" si="5"/>
        <v>26110.000000000116</v>
      </c>
    </row>
    <row r="26" spans="1:11" x14ac:dyDescent="0.35">
      <c r="B26" s="31">
        <f>+B9-B17-B23</f>
        <v>0</v>
      </c>
      <c r="C26" s="31"/>
      <c r="D26" s="31"/>
      <c r="E26" s="31"/>
      <c r="F26" s="31"/>
      <c r="G26" s="233"/>
      <c r="H26" s="234"/>
      <c r="I26" s="234"/>
    </row>
    <row r="27" spans="1:11" x14ac:dyDescent="0.35">
      <c r="G27" s="233"/>
      <c r="H27" s="234"/>
      <c r="I27" s="234"/>
    </row>
    <row r="28" spans="1:11" x14ac:dyDescent="0.35">
      <c r="G28" s="233"/>
      <c r="H28" s="234"/>
      <c r="I28" s="234"/>
    </row>
    <row r="29" spans="1:11" x14ac:dyDescent="0.35">
      <c r="G29" s="233"/>
      <c r="H29" s="234"/>
      <c r="I29" s="234"/>
    </row>
    <row r="30" spans="1:11" x14ac:dyDescent="0.35">
      <c r="G30" s="233"/>
      <c r="H30" s="234"/>
      <c r="I30" s="234"/>
    </row>
    <row r="31" spans="1:11" x14ac:dyDescent="0.35">
      <c r="G31" s="233"/>
      <c r="H31" s="234"/>
      <c r="I31" s="234"/>
    </row>
    <row r="32" spans="1:11" x14ac:dyDescent="0.35">
      <c r="G32" s="233"/>
      <c r="H32" s="234"/>
      <c r="I32" s="234"/>
    </row>
    <row r="33" spans="1:9" x14ac:dyDescent="0.35">
      <c r="G33" s="233"/>
      <c r="H33" s="234"/>
      <c r="I33" s="234"/>
    </row>
    <row r="34" spans="1:9" ht="13.15" thickBot="1" x14ac:dyDescent="0.4">
      <c r="B34" s="31"/>
      <c r="C34" s="31"/>
      <c r="D34" s="31"/>
      <c r="E34" s="31"/>
      <c r="F34" s="31"/>
      <c r="G34" s="233"/>
      <c r="H34" s="234"/>
      <c r="I34" s="234"/>
    </row>
    <row r="35" spans="1:9" ht="13.15" thickTop="1" x14ac:dyDescent="0.35">
      <c r="A35" s="318" t="s">
        <v>32</v>
      </c>
      <c r="B35" s="320" t="s">
        <v>33</v>
      </c>
      <c r="C35" s="322" t="s">
        <v>34</v>
      </c>
      <c r="D35" s="235"/>
      <c r="E35" s="235"/>
    </row>
    <row r="36" spans="1:9" ht="13.15" thickBot="1" x14ac:dyDescent="0.4">
      <c r="A36" s="319"/>
      <c r="B36" s="321"/>
      <c r="C36" s="323"/>
    </row>
    <row r="37" spans="1:9" ht="13.5" thickTop="1" x14ac:dyDescent="0.4">
      <c r="A37" s="292" t="s">
        <v>35</v>
      </c>
      <c r="B37" s="293">
        <f>IF($D37=1,G78,0)</f>
        <v>1540000.0000000002</v>
      </c>
      <c r="C37" s="294">
        <f t="shared" ref="C37:C48" si="6">+B37/$B$37</f>
        <v>1</v>
      </c>
      <c r="D37" s="26">
        <v>1</v>
      </c>
      <c r="E37" s="59" t="s">
        <v>36</v>
      </c>
    </row>
    <row r="38" spans="1:9" ht="13.5" thickBot="1" x14ac:dyDescent="0.45">
      <c r="A38" s="295" t="s">
        <v>37</v>
      </c>
      <c r="B38" s="296">
        <f>+B37</f>
        <v>1540000.0000000002</v>
      </c>
      <c r="C38" s="297">
        <f t="shared" si="6"/>
        <v>1</v>
      </c>
    </row>
    <row r="39" spans="1:9" ht="13.15" thickTop="1" x14ac:dyDescent="0.35">
      <c r="A39" s="63" t="s">
        <v>38</v>
      </c>
      <c r="B39" s="57">
        <f>IF($D39=1,G80,0)</f>
        <v>-864710.00000000012</v>
      </c>
      <c r="C39" s="64">
        <f t="shared" si="6"/>
        <v>-0.5615</v>
      </c>
      <c r="D39" s="26">
        <v>1</v>
      </c>
      <c r="E39" s="59" t="s">
        <v>39</v>
      </c>
    </row>
    <row r="40" spans="1:9" ht="13.15" x14ac:dyDescent="0.4">
      <c r="A40" s="65" t="s">
        <v>40</v>
      </c>
      <c r="B40" s="66">
        <f>+B37+B39</f>
        <v>675290.00000000012</v>
      </c>
      <c r="C40" s="67">
        <f t="shared" si="6"/>
        <v>0.4385</v>
      </c>
    </row>
    <row r="41" spans="1:9" x14ac:dyDescent="0.35">
      <c r="A41" s="68" t="s">
        <v>41</v>
      </c>
      <c r="B41" s="69">
        <f>IF($D41=1,-D85,0)</f>
        <v>-350000</v>
      </c>
      <c r="C41" s="70">
        <f t="shared" si="6"/>
        <v>-0.22727272727272724</v>
      </c>
      <c r="D41" s="26">
        <v>1</v>
      </c>
      <c r="E41" s="59" t="s">
        <v>42</v>
      </c>
    </row>
    <row r="42" spans="1:9" ht="13.15" x14ac:dyDescent="0.4">
      <c r="A42" s="71" t="s">
        <v>43</v>
      </c>
      <c r="B42" s="72">
        <f>+B40+B41</f>
        <v>325290.00000000012</v>
      </c>
      <c r="C42" s="67">
        <f t="shared" si="6"/>
        <v>0.21122727272727276</v>
      </c>
      <c r="F42" s="73"/>
      <c r="G42" s="73"/>
      <c r="H42" s="73"/>
    </row>
    <row r="43" spans="1:9" x14ac:dyDescent="0.35">
      <c r="A43" s="68" t="s">
        <v>44</v>
      </c>
      <c r="B43" s="69">
        <f>IF($D43=1,-B5/10,0)</f>
        <v>-20000</v>
      </c>
      <c r="C43" s="70">
        <f t="shared" si="6"/>
        <v>-1.2987012987012984E-2</v>
      </c>
      <c r="D43" s="26">
        <v>1</v>
      </c>
      <c r="E43" s="59" t="s">
        <v>45</v>
      </c>
      <c r="F43" s="74"/>
      <c r="G43" s="74"/>
      <c r="H43" s="74"/>
    </row>
    <row r="44" spans="1:9" ht="13.15" x14ac:dyDescent="0.4">
      <c r="A44" s="71" t="s">
        <v>46</v>
      </c>
      <c r="B44" s="72">
        <f>+B42+B43</f>
        <v>305290.00000000012</v>
      </c>
      <c r="C44" s="67">
        <f t="shared" si="6"/>
        <v>0.19824025974025977</v>
      </c>
      <c r="F44" s="73"/>
      <c r="G44" s="73"/>
      <c r="H44" s="73"/>
    </row>
    <row r="45" spans="1:9" x14ac:dyDescent="0.35">
      <c r="A45" s="75" t="s">
        <v>47</v>
      </c>
      <c r="B45" s="69">
        <f>IF($D45=1,-B13*D86,0)</f>
        <v>-5000</v>
      </c>
      <c r="C45" s="70">
        <f t="shared" si="6"/>
        <v>-3.2467532467532461E-3</v>
      </c>
      <c r="D45" s="26">
        <v>1</v>
      </c>
      <c r="E45" s="59" t="s">
        <v>48</v>
      </c>
      <c r="F45" s="74"/>
      <c r="G45" s="74"/>
      <c r="H45" s="74"/>
    </row>
    <row r="46" spans="1:9" ht="13.15" x14ac:dyDescent="0.4">
      <c r="A46" s="71" t="s">
        <v>49</v>
      </c>
      <c r="B46" s="72">
        <f>+B44+B45</f>
        <v>300290.00000000012</v>
      </c>
      <c r="C46" s="67">
        <f t="shared" si="6"/>
        <v>0.19499350649350655</v>
      </c>
      <c r="F46" s="73"/>
      <c r="G46" s="73"/>
      <c r="H46" s="73"/>
    </row>
    <row r="47" spans="1:9" x14ac:dyDescent="0.35">
      <c r="A47" s="68" t="s">
        <v>99</v>
      </c>
      <c r="B47" s="69">
        <f>IF($D47=1,-B46*D87,0)</f>
        <v>-75072.500000000029</v>
      </c>
      <c r="C47" s="70">
        <f t="shared" si="6"/>
        <v>-4.8748376623376638E-2</v>
      </c>
      <c r="D47" s="26">
        <v>1</v>
      </c>
      <c r="E47" s="59" t="s">
        <v>51</v>
      </c>
      <c r="F47" s="74"/>
      <c r="G47" s="74"/>
      <c r="H47" s="74"/>
    </row>
    <row r="48" spans="1:9" ht="15" x14ac:dyDescent="0.35">
      <c r="A48" s="76" t="s">
        <v>52</v>
      </c>
      <c r="B48" s="77">
        <f>+B46+B47</f>
        <v>225217.50000000009</v>
      </c>
      <c r="C48" s="78">
        <f t="shared" si="6"/>
        <v>0.14624512987012991</v>
      </c>
      <c r="D48" s="79"/>
      <c r="E48" s="79"/>
      <c r="F48" s="79"/>
      <c r="G48" s="79"/>
      <c r="H48" s="79"/>
    </row>
    <row r="49" spans="1:9" ht="13.15" thickBot="1" x14ac:dyDescent="0.4"/>
    <row r="50" spans="1:9" ht="13.15" thickTop="1" x14ac:dyDescent="0.35">
      <c r="A50" s="303" t="s">
        <v>53</v>
      </c>
      <c r="B50" s="305" t="s">
        <v>54</v>
      </c>
      <c r="C50" s="307" t="s">
        <v>53</v>
      </c>
      <c r="D50" s="235"/>
      <c r="E50" s="235"/>
      <c r="F50" s="235"/>
      <c r="G50" s="235"/>
      <c r="H50" s="235"/>
      <c r="I50" s="31"/>
    </row>
    <row r="51" spans="1:9" ht="13.15" thickBot="1" x14ac:dyDescent="0.4">
      <c r="A51" s="304"/>
      <c r="B51" s="306"/>
      <c r="C51" s="308"/>
      <c r="D51" s="235"/>
      <c r="E51" s="235"/>
      <c r="F51" s="235"/>
      <c r="G51" s="235"/>
      <c r="H51" s="235"/>
    </row>
    <row r="52" spans="1:9" ht="13.15" thickTop="1" x14ac:dyDescent="0.35">
      <c r="A52" s="80" t="s">
        <v>55</v>
      </c>
      <c r="B52" s="82">
        <v>0</v>
      </c>
      <c r="C52" s="82">
        <f>+C8</f>
        <v>1440000.0000000002</v>
      </c>
      <c r="D52" s="236"/>
      <c r="E52" s="236"/>
      <c r="F52" s="236"/>
      <c r="G52" s="236"/>
      <c r="H52" s="236"/>
    </row>
    <row r="53" spans="1:9" x14ac:dyDescent="0.35">
      <c r="A53" s="75" t="s">
        <v>56</v>
      </c>
      <c r="B53" s="84">
        <v>0</v>
      </c>
      <c r="C53" s="84">
        <f>+D8</f>
        <v>-865740</v>
      </c>
      <c r="D53" s="31"/>
      <c r="E53" s="31"/>
      <c r="F53" s="31"/>
      <c r="G53" s="31"/>
      <c r="H53" s="31"/>
    </row>
    <row r="54" spans="1:9" x14ac:dyDescent="0.35">
      <c r="A54" s="68" t="s">
        <v>57</v>
      </c>
      <c r="B54" s="84">
        <v>0</v>
      </c>
      <c r="C54" s="84">
        <f>+B41</f>
        <v>-350000</v>
      </c>
      <c r="D54" s="31"/>
      <c r="E54" s="31"/>
      <c r="F54" s="31"/>
      <c r="G54" s="31"/>
      <c r="H54" s="31"/>
    </row>
    <row r="55" spans="1:9" x14ac:dyDescent="0.35">
      <c r="A55" s="68" t="s">
        <v>58</v>
      </c>
      <c r="B55" s="84"/>
      <c r="C55" s="84">
        <f>+B45</f>
        <v>-5000</v>
      </c>
      <c r="D55" s="31"/>
      <c r="E55" s="31"/>
      <c r="F55" s="31"/>
      <c r="G55" s="31"/>
      <c r="H55" s="31"/>
    </row>
    <row r="56" spans="1:9" ht="13.15" thickBot="1" x14ac:dyDescent="0.4">
      <c r="A56" s="68" t="s">
        <v>100</v>
      </c>
      <c r="B56" s="84"/>
      <c r="C56" s="84">
        <f>+B47</f>
        <v>-75072.500000000029</v>
      </c>
      <c r="D56" s="31"/>
      <c r="E56" s="31"/>
      <c r="F56" s="31"/>
      <c r="G56" s="31"/>
      <c r="H56" s="31"/>
    </row>
    <row r="57" spans="1:9" ht="13.9" thickTop="1" thickBot="1" x14ac:dyDescent="0.45">
      <c r="A57" s="86" t="s">
        <v>60</v>
      </c>
      <c r="B57" s="87">
        <f>SUM(B52:B56)</f>
        <v>0</v>
      </c>
      <c r="C57" s="87">
        <f>SUM(C52:C56)</f>
        <v>144187.5000000002</v>
      </c>
      <c r="D57" s="237"/>
      <c r="E57" s="237"/>
      <c r="F57" s="237"/>
      <c r="G57" s="237"/>
      <c r="H57" s="237"/>
    </row>
    <row r="58" spans="1:9" ht="13.15" thickTop="1" x14ac:dyDescent="0.35">
      <c r="A58" s="75" t="s">
        <v>61</v>
      </c>
      <c r="B58" s="57">
        <f>-B5</f>
        <v>-200000</v>
      </c>
      <c r="C58" s="57"/>
      <c r="D58" s="31"/>
      <c r="E58" s="31"/>
      <c r="F58" s="31"/>
      <c r="G58" s="31"/>
      <c r="H58" s="31"/>
    </row>
    <row r="59" spans="1:9" ht="13.15" thickBot="1" x14ac:dyDescent="0.4">
      <c r="A59" s="75"/>
      <c r="B59" s="238"/>
      <c r="C59" s="84">
        <f>SUM(B59:B59)</f>
        <v>0</v>
      </c>
      <c r="D59" s="31"/>
      <c r="E59" s="31"/>
      <c r="F59" s="31"/>
      <c r="G59" s="31"/>
      <c r="H59" s="31"/>
    </row>
    <row r="60" spans="1:9" ht="13.9" thickTop="1" thickBot="1" x14ac:dyDescent="0.45">
      <c r="A60" s="86" t="s">
        <v>62</v>
      </c>
      <c r="B60" s="87">
        <f>+B57+B58</f>
        <v>-200000</v>
      </c>
      <c r="C60" s="87">
        <f>+C58</f>
        <v>0</v>
      </c>
      <c r="D60" s="237"/>
      <c r="E60" s="237"/>
      <c r="F60" s="237"/>
      <c r="G60" s="237"/>
      <c r="H60" s="237"/>
    </row>
    <row r="61" spans="1:9" ht="13.15" thickTop="1" x14ac:dyDescent="0.35">
      <c r="A61" s="68" t="s">
        <v>63</v>
      </c>
      <c r="B61" s="84">
        <f>+B13</f>
        <v>100000</v>
      </c>
      <c r="C61" s="84"/>
      <c r="D61" s="31"/>
      <c r="E61" s="31"/>
      <c r="F61" s="31"/>
      <c r="G61" s="31"/>
      <c r="H61" s="31"/>
    </row>
    <row r="62" spans="1:9" x14ac:dyDescent="0.35">
      <c r="A62" s="68" t="s">
        <v>64</v>
      </c>
      <c r="B62" s="84">
        <f>+B21</f>
        <v>150000</v>
      </c>
      <c r="C62" s="84"/>
      <c r="D62" s="31"/>
      <c r="E62" s="31"/>
      <c r="F62" s="31"/>
      <c r="G62" s="31"/>
      <c r="H62" s="31"/>
    </row>
    <row r="63" spans="1:9" ht="13.15" thickBot="1" x14ac:dyDescent="0.4">
      <c r="A63" s="68" t="s">
        <v>65</v>
      </c>
      <c r="B63" s="84" t="e">
        <f>+#REF!</f>
        <v>#REF!</v>
      </c>
      <c r="C63" s="84">
        <f>IF(B67+C57+C60+C61+C62&lt;0,-(B67+C57+C60+C61+C62),0)</f>
        <v>0</v>
      </c>
      <c r="D63" s="31"/>
      <c r="E63" s="31"/>
      <c r="F63" s="31"/>
      <c r="G63" s="31"/>
      <c r="H63" s="31"/>
    </row>
    <row r="64" spans="1:9" ht="13.9" thickTop="1" thickBot="1" x14ac:dyDescent="0.45">
      <c r="A64" s="239" t="s">
        <v>66</v>
      </c>
      <c r="B64" s="91">
        <f>+B62+B61</f>
        <v>250000</v>
      </c>
      <c r="C64" s="91">
        <f>+C62+C61</f>
        <v>0</v>
      </c>
      <c r="D64" s="240"/>
      <c r="E64" s="240"/>
      <c r="F64" s="240"/>
      <c r="G64" s="240"/>
      <c r="H64" s="240"/>
    </row>
    <row r="65" spans="1:11" ht="15.75" thickTop="1" thickBot="1" x14ac:dyDescent="0.4">
      <c r="A65" s="93" t="s">
        <v>67</v>
      </c>
      <c r="B65" s="241">
        <f>+B57+B60+B64</f>
        <v>50000</v>
      </c>
      <c r="C65" s="241">
        <f>+C57+C60+C64</f>
        <v>144187.5000000002</v>
      </c>
      <c r="D65" s="242"/>
      <c r="E65" s="242"/>
      <c r="F65" s="242"/>
      <c r="G65" s="242"/>
      <c r="H65" s="242"/>
    </row>
    <row r="66" spans="1:11" ht="13.9" thickTop="1" thickBot="1" x14ac:dyDescent="0.4">
      <c r="A66" s="96" t="s">
        <v>68</v>
      </c>
      <c r="B66" s="84">
        <v>0</v>
      </c>
      <c r="C66" s="97">
        <f>+B67</f>
        <v>50000</v>
      </c>
      <c r="D66" s="231"/>
      <c r="E66" s="231"/>
      <c r="F66" s="231"/>
      <c r="G66" s="231"/>
      <c r="H66" s="231"/>
    </row>
    <row r="67" spans="1:11" ht="13.9" thickTop="1" thickBot="1" x14ac:dyDescent="0.4">
      <c r="A67" s="98" t="s">
        <v>69</v>
      </c>
      <c r="B67" s="99">
        <f>+B65+B66</f>
        <v>50000</v>
      </c>
      <c r="C67" s="99">
        <f>+C65+C66</f>
        <v>194187.5000000002</v>
      </c>
      <c r="D67" s="243"/>
      <c r="E67" s="243"/>
      <c r="F67" s="243"/>
      <c r="G67" s="243"/>
      <c r="H67" s="243"/>
    </row>
    <row r="68" spans="1:11" ht="13.15" thickTop="1" x14ac:dyDescent="0.35"/>
    <row r="71" spans="1:11" ht="15" x14ac:dyDescent="0.4">
      <c r="A71" s="393" t="s">
        <v>74</v>
      </c>
      <c r="B71" s="393"/>
      <c r="C71" s="393"/>
      <c r="D71" s="393"/>
      <c r="E71" s="31"/>
      <c r="F71" s="31"/>
      <c r="G71" s="31"/>
      <c r="H71" s="31"/>
      <c r="I71" s="31"/>
    </row>
    <row r="72" spans="1:11" ht="13.15" x14ac:dyDescent="0.4">
      <c r="A72" s="184"/>
      <c r="B72" s="185" t="s">
        <v>75</v>
      </c>
      <c r="C72" s="186" t="s">
        <v>76</v>
      </c>
      <c r="D72" s="186" t="s">
        <v>77</v>
      </c>
    </row>
    <row r="73" spans="1:11" ht="13.15" x14ac:dyDescent="0.4">
      <c r="A73" s="187" t="s">
        <v>78</v>
      </c>
      <c r="B73" s="188"/>
      <c r="C73" s="189"/>
      <c r="D73" s="189"/>
      <c r="E73" s="31"/>
      <c r="F73" s="31"/>
      <c r="G73" s="190"/>
    </row>
    <row r="74" spans="1:11" ht="13.15" x14ac:dyDescent="0.4">
      <c r="A74" s="191"/>
      <c r="B74" s="192"/>
      <c r="C74" s="193"/>
      <c r="D74" s="193"/>
    </row>
    <row r="75" spans="1:11" x14ac:dyDescent="0.35">
      <c r="A75" s="301" t="s">
        <v>79</v>
      </c>
      <c r="B75" s="302">
        <f>+'[2]Complementos de mujer'!B30</f>
        <v>1400000</v>
      </c>
      <c r="C75" s="196">
        <v>1.1000000000000001</v>
      </c>
      <c r="D75" s="302">
        <f>+B75*C75</f>
        <v>1540000.0000000002</v>
      </c>
      <c r="E75" s="31"/>
    </row>
    <row r="76" spans="1:11" x14ac:dyDescent="0.35">
      <c r="A76" s="194" t="s">
        <v>80</v>
      </c>
      <c r="B76" s="197"/>
      <c r="C76" s="198"/>
      <c r="D76" s="197">
        <f>+C76*B76</f>
        <v>0</v>
      </c>
      <c r="F76" s="313"/>
      <c r="G76" s="315" t="s">
        <v>21</v>
      </c>
      <c r="H76" s="394" t="s">
        <v>22</v>
      </c>
      <c r="I76" s="394"/>
      <c r="J76" s="394"/>
      <c r="K76" s="394"/>
    </row>
    <row r="77" spans="1:11" x14ac:dyDescent="0.35">
      <c r="A77" s="199" t="s">
        <v>81</v>
      </c>
      <c r="B77" s="197">
        <f>+'[2]Complementos de mujer'!C31</f>
        <v>0.35</v>
      </c>
      <c r="C77" s="198">
        <v>1</v>
      </c>
      <c r="D77" s="197">
        <f>+B77*C77</f>
        <v>0.35</v>
      </c>
      <c r="F77" s="314"/>
      <c r="G77" s="316"/>
      <c r="H77" s="283" t="str">
        <f>+'[2]Complementos de mujer'!C29</f>
        <v>BOLSOS</v>
      </c>
      <c r="I77" s="283" t="str">
        <f>+'[2]Complementos de mujer'!D29</f>
        <v>ZAPATERIA</v>
      </c>
      <c r="J77" s="283" t="str">
        <f>+'[2]Complementos de mujer'!E29</f>
        <v>JOYERIA</v>
      </c>
      <c r="K77" s="283" t="s">
        <v>26</v>
      </c>
    </row>
    <row r="78" spans="1:11" ht="13.15" x14ac:dyDescent="0.4">
      <c r="A78" s="194" t="s">
        <v>82</v>
      </c>
      <c r="B78" s="197">
        <f>+'[2]Complementos de mujer'!D31</f>
        <v>0.45</v>
      </c>
      <c r="C78" s="198">
        <v>1</v>
      </c>
      <c r="D78" s="197">
        <f>+B78*C78</f>
        <v>0.45</v>
      </c>
      <c r="F78" s="36" t="s">
        <v>27</v>
      </c>
      <c r="G78" s="38">
        <f>+D75</f>
        <v>1540000.0000000002</v>
      </c>
      <c r="H78" s="38">
        <f>+$G$78*H79</f>
        <v>539000</v>
      </c>
      <c r="I78" s="38">
        <f>+$G$78*I79</f>
        <v>693000.00000000012</v>
      </c>
      <c r="J78" s="38">
        <f>+$G$78*J79</f>
        <v>77000.000000000015</v>
      </c>
      <c r="K78" s="39">
        <f>+$G$78*K79</f>
        <v>231000.00000000006</v>
      </c>
    </row>
    <row r="79" spans="1:11" x14ac:dyDescent="0.35">
      <c r="A79" s="194" t="s">
        <v>83</v>
      </c>
      <c r="B79" s="197">
        <f>+'[2]Complementos de mujer'!E31</f>
        <v>0.05</v>
      </c>
      <c r="C79" s="198">
        <v>1</v>
      </c>
      <c r="D79" s="197">
        <f>+B79*C79</f>
        <v>0.05</v>
      </c>
      <c r="F79" s="40" t="s">
        <v>28</v>
      </c>
      <c r="G79" s="41">
        <f>SUM(H79:K79)</f>
        <v>1</v>
      </c>
      <c r="H79" s="201">
        <f>+D77</f>
        <v>0.35</v>
      </c>
      <c r="I79" s="201">
        <f>+D78</f>
        <v>0.45</v>
      </c>
      <c r="J79" s="201">
        <f>+D79</f>
        <v>0.05</v>
      </c>
      <c r="K79" s="201">
        <f>1-H79-I79-J79</f>
        <v>0.15000000000000002</v>
      </c>
    </row>
    <row r="80" spans="1:11" x14ac:dyDescent="0.35">
      <c r="A80" s="194" t="s">
        <v>84</v>
      </c>
      <c r="B80" s="197">
        <f>+'[2]Complementos de mujer'!F31</f>
        <v>0.15000000000000002</v>
      </c>
      <c r="C80" s="198"/>
      <c r="D80" s="197">
        <f>1-D79-D78-D77</f>
        <v>0.14999999999999997</v>
      </c>
      <c r="F80" s="44" t="s">
        <v>29</v>
      </c>
      <c r="G80" s="202">
        <f>-SUM(H80:K80)</f>
        <v>-864710.00000000012</v>
      </c>
      <c r="H80" s="46">
        <f>+H78*(1-H82)</f>
        <v>312620.00000000006</v>
      </c>
      <c r="I80" s="46">
        <f>+I78*(1-I82)</f>
        <v>422730.00000000006</v>
      </c>
      <c r="J80" s="46">
        <f>+J78*(1-J82)</f>
        <v>25410</v>
      </c>
      <c r="K80" s="46">
        <f>+K78*(1-K82)</f>
        <v>103950.00000000001</v>
      </c>
    </row>
    <row r="81" spans="1:11" ht="13.15" x14ac:dyDescent="0.4">
      <c r="A81" s="203" t="s">
        <v>85</v>
      </c>
      <c r="B81" s="204">
        <f>+'[2]Complementos de mujer'!B34</f>
        <v>0.40100000000000002</v>
      </c>
      <c r="C81" s="205">
        <f>+D81/B81</f>
        <v>1.0935162094763091</v>
      </c>
      <c r="D81" s="204">
        <f>+G82</f>
        <v>0.43849999999999995</v>
      </c>
      <c r="E81" s="31"/>
      <c r="F81" s="47" t="s">
        <v>30</v>
      </c>
      <c r="G81" s="48">
        <f>SUM(H81:K81)</f>
        <v>675290</v>
      </c>
      <c r="H81" s="49">
        <f>+H78-H80</f>
        <v>226379.99999999994</v>
      </c>
      <c r="I81" s="49">
        <f>+I78-I80</f>
        <v>270270.00000000006</v>
      </c>
      <c r="J81" s="49">
        <f>+J78-J80</f>
        <v>51590.000000000015</v>
      </c>
      <c r="K81" s="49">
        <f>+K78-K80</f>
        <v>127050.00000000004</v>
      </c>
    </row>
    <row r="82" spans="1:11" ht="13.15" x14ac:dyDescent="0.4">
      <c r="A82" s="194"/>
      <c r="B82" s="197"/>
      <c r="C82" s="198"/>
      <c r="D82" s="197"/>
      <c r="F82" s="50" t="s">
        <v>31</v>
      </c>
      <c r="G82" s="51">
        <f>+G81/G78</f>
        <v>0.43849999999999995</v>
      </c>
      <c r="H82" s="52">
        <f>+'[2]Complementos de mujer'!C34</f>
        <v>0.42</v>
      </c>
      <c r="I82" s="52">
        <f>+'[2]Complementos de mujer'!D34</f>
        <v>0.39</v>
      </c>
      <c r="J82" s="52">
        <f>+'[2]Complementos de mujer'!E34</f>
        <v>0.67</v>
      </c>
      <c r="K82" s="300">
        <v>0.55000000000000004</v>
      </c>
    </row>
    <row r="83" spans="1:11" ht="13.15" x14ac:dyDescent="0.4">
      <c r="A83" s="187" t="s">
        <v>86</v>
      </c>
      <c r="B83" s="206"/>
      <c r="C83" s="214"/>
      <c r="D83" s="206"/>
      <c r="F83" s="208"/>
      <c r="G83" s="209"/>
      <c r="H83" s="210"/>
      <c r="I83" s="210"/>
      <c r="J83" s="210"/>
      <c r="K83" s="211"/>
    </row>
    <row r="84" spans="1:11" ht="13.15" x14ac:dyDescent="0.4">
      <c r="A84" s="191"/>
      <c r="B84" s="197"/>
      <c r="C84" s="198"/>
      <c r="D84" s="197"/>
      <c r="F84" s="208"/>
      <c r="G84" s="209"/>
      <c r="H84" s="210"/>
      <c r="I84" s="210"/>
      <c r="J84" s="210"/>
      <c r="K84" s="211"/>
    </row>
    <row r="85" spans="1:11" x14ac:dyDescent="0.35">
      <c r="A85" s="194" t="s">
        <v>87</v>
      </c>
      <c r="B85" s="195">
        <f>-'[2]Complementos de mujer'!B42</f>
        <v>350000</v>
      </c>
      <c r="C85" s="198">
        <v>1</v>
      </c>
      <c r="D85" s="195">
        <f>+B85*C85</f>
        <v>350000</v>
      </c>
      <c r="E85" s="31"/>
      <c r="F85" s="31"/>
      <c r="G85" s="190"/>
    </row>
    <row r="86" spans="1:11" x14ac:dyDescent="0.35">
      <c r="A86" s="194" t="s">
        <v>88</v>
      </c>
      <c r="B86" s="197">
        <v>0.05</v>
      </c>
      <c r="C86" s="198">
        <v>1</v>
      </c>
      <c r="D86" s="197">
        <f>+B86*C86</f>
        <v>0.05</v>
      </c>
      <c r="E86" s="31"/>
      <c r="F86" s="190"/>
    </row>
    <row r="87" spans="1:11" x14ac:dyDescent="0.35">
      <c r="A87" s="194" t="s">
        <v>89</v>
      </c>
      <c r="B87" s="197">
        <v>0.25</v>
      </c>
      <c r="C87" s="198">
        <v>1</v>
      </c>
      <c r="D87" s="197">
        <f>+B87*C87</f>
        <v>0.25</v>
      </c>
      <c r="E87" s="31"/>
      <c r="F87" s="190"/>
    </row>
    <row r="88" spans="1:11" x14ac:dyDescent="0.35">
      <c r="A88" s="194"/>
      <c r="B88" s="197"/>
      <c r="C88" s="198"/>
      <c r="D88" s="197"/>
      <c r="F88" s="190"/>
    </row>
    <row r="89" spans="1:11" ht="13.15" x14ac:dyDescent="0.4">
      <c r="A89" s="187" t="s">
        <v>90</v>
      </c>
      <c r="B89" s="206"/>
      <c r="C89" s="214"/>
      <c r="D89" s="206"/>
      <c r="F89" s="190"/>
    </row>
    <row r="90" spans="1:11" ht="13.15" x14ac:dyDescent="0.4">
      <c r="A90" s="212"/>
      <c r="B90" s="213"/>
      <c r="C90" s="214"/>
      <c r="D90" s="213"/>
      <c r="F90" s="190"/>
    </row>
    <row r="91" spans="1:11" x14ac:dyDescent="0.35">
      <c r="A91" s="194" t="s">
        <v>91</v>
      </c>
      <c r="B91" s="195">
        <v>15</v>
      </c>
      <c r="C91" s="198">
        <v>1</v>
      </c>
      <c r="D91" s="215">
        <f>+B91*C91</f>
        <v>15</v>
      </c>
      <c r="E91" s="31"/>
      <c r="F91" s="31"/>
      <c r="G91" s="190"/>
    </row>
    <row r="92" spans="1:11" x14ac:dyDescent="0.35">
      <c r="A92" s="194" t="s">
        <v>92</v>
      </c>
      <c r="B92" s="195">
        <v>15</v>
      </c>
      <c r="C92" s="198">
        <v>1</v>
      </c>
      <c r="D92" s="215">
        <f>+B92*C92</f>
        <v>15</v>
      </c>
      <c r="E92" s="31"/>
      <c r="F92" s="31"/>
      <c r="G92" s="190"/>
    </row>
    <row r="93" spans="1:11" x14ac:dyDescent="0.35">
      <c r="A93" s="194" t="s">
        <v>93</v>
      </c>
      <c r="B93" s="195">
        <v>30</v>
      </c>
      <c r="C93" s="198">
        <v>1</v>
      </c>
      <c r="D93" s="195">
        <f>+C93*B93</f>
        <v>30</v>
      </c>
      <c r="E93" s="31"/>
      <c r="F93" s="31"/>
      <c r="G93" s="190"/>
    </row>
    <row r="94" spans="1:11" x14ac:dyDescent="0.35">
      <c r="B94" s="31"/>
      <c r="C94" s="215"/>
      <c r="F94" s="190"/>
    </row>
    <row r="95" spans="1:11" x14ac:dyDescent="0.35">
      <c r="A95" s="194" t="s">
        <v>94</v>
      </c>
      <c r="B95" s="31"/>
      <c r="C95" s="215"/>
      <c r="D95" s="195">
        <f>-(+B39+(B39/360)*D93)</f>
        <v>936769.16666666674</v>
      </c>
      <c r="F95" s="190"/>
    </row>
    <row r="96" spans="1:11" x14ac:dyDescent="0.35">
      <c r="C96" s="215"/>
      <c r="F96" s="190"/>
    </row>
    <row r="97" spans="1:6" ht="13.15" x14ac:dyDescent="0.4">
      <c r="A97" s="187" t="s">
        <v>95</v>
      </c>
      <c r="B97" s="206"/>
      <c r="C97" s="214"/>
      <c r="D97" s="206"/>
      <c r="F97" s="190"/>
    </row>
    <row r="98" spans="1:6" ht="13.15" x14ac:dyDescent="0.4">
      <c r="A98" s="212"/>
      <c r="B98" s="213"/>
      <c r="C98" s="214"/>
      <c r="D98" s="213"/>
      <c r="F98" s="190"/>
    </row>
    <row r="99" spans="1:6" x14ac:dyDescent="0.35">
      <c r="A99" s="194" t="s">
        <v>96</v>
      </c>
      <c r="B99" s="195">
        <f>+'[2]Complementos de mujer'!B5</f>
        <v>200000</v>
      </c>
      <c r="C99" s="198">
        <v>1</v>
      </c>
      <c r="D99" s="195">
        <f>+B99*C99</f>
        <v>200000</v>
      </c>
      <c r="E99" s="31"/>
      <c r="F99" s="190"/>
    </row>
    <row r="100" spans="1:6" x14ac:dyDescent="0.35">
      <c r="A100" s="194" t="s">
        <v>97</v>
      </c>
      <c r="B100" s="195">
        <f>+'[2]Complementos de mujer'!B13</f>
        <v>100000</v>
      </c>
      <c r="C100" s="198">
        <v>1</v>
      </c>
      <c r="D100" s="195">
        <f>+B100*C100</f>
        <v>100000</v>
      </c>
      <c r="E100" s="31"/>
      <c r="F100" s="190"/>
    </row>
    <row r="101" spans="1:6" x14ac:dyDescent="0.35">
      <c r="A101" s="194" t="s">
        <v>98</v>
      </c>
      <c r="B101" s="195">
        <f>+'[2]Complementos de mujer'!B22</f>
        <v>150000</v>
      </c>
      <c r="C101" s="198">
        <v>1</v>
      </c>
      <c r="D101" s="195">
        <f>+B101*C101</f>
        <v>150000</v>
      </c>
      <c r="E101" s="31"/>
      <c r="F101" s="190"/>
    </row>
    <row r="102" spans="1:6" x14ac:dyDescent="0.35">
      <c r="F102" s="190"/>
    </row>
    <row r="103" spans="1:6" ht="13.15" thickBot="1" x14ac:dyDescent="0.4">
      <c r="F103" s="190"/>
    </row>
    <row r="104" spans="1:6" ht="18" thickTop="1" thickBot="1" x14ac:dyDescent="0.5">
      <c r="A104" s="244" t="s">
        <v>101</v>
      </c>
      <c r="B104" s="245"/>
      <c r="C104" s="246" t="s">
        <v>102</v>
      </c>
      <c r="F104" s="190"/>
    </row>
    <row r="105" spans="1:6" ht="14.25" thickTop="1" thickBot="1" x14ac:dyDescent="0.4">
      <c r="A105" s="247" t="s">
        <v>103</v>
      </c>
      <c r="B105" s="248"/>
      <c r="C105" s="249">
        <v>37000</v>
      </c>
    </row>
    <row r="106" spans="1:6" ht="14.25" thickTop="1" thickBot="1" x14ac:dyDescent="0.4">
      <c r="A106" s="250" t="s">
        <v>104</v>
      </c>
      <c r="B106" s="251"/>
      <c r="C106" s="252">
        <v>8.8999999999999996E-2</v>
      </c>
    </row>
    <row r="107" spans="1:6" ht="14.25" thickTop="1" thickBot="1" x14ac:dyDescent="0.4">
      <c r="A107" s="247" t="s">
        <v>105</v>
      </c>
      <c r="B107" s="248"/>
      <c r="C107" s="249">
        <v>415730.3370786517</v>
      </c>
    </row>
    <row r="108" spans="1:6" ht="14.25" thickTop="1" thickBot="1" x14ac:dyDescent="0.4">
      <c r="A108" s="253" t="s">
        <v>106</v>
      </c>
      <c r="B108" s="251"/>
      <c r="C108" s="252">
        <v>0.46701238836070297</v>
      </c>
    </row>
    <row r="109" spans="1:6" ht="14.25" thickTop="1" thickBot="1" x14ac:dyDescent="0.4">
      <c r="A109" s="247" t="s">
        <v>20</v>
      </c>
      <c r="B109" s="248"/>
      <c r="C109" s="249">
        <v>0</v>
      </c>
    </row>
    <row r="110" spans="1:6" ht="13.15" thickTop="1" x14ac:dyDescent="0.35">
      <c r="A110" s="59"/>
      <c r="B110" s="254"/>
      <c r="C110" s="255"/>
    </row>
    <row r="111" spans="1:6" ht="17.649999999999999" thickBot="1" x14ac:dyDescent="0.5">
      <c r="A111" s="256" t="s">
        <v>107</v>
      </c>
      <c r="B111" s="257"/>
      <c r="C111" s="258"/>
    </row>
    <row r="112" spans="1:6" ht="13.5" thickTop="1" thickBot="1" x14ac:dyDescent="0.4">
      <c r="A112" s="259"/>
      <c r="B112" s="260"/>
      <c r="C112" s="261"/>
    </row>
    <row r="113" spans="1:3" ht="14.65" thickTop="1" thickBot="1" x14ac:dyDescent="0.45">
      <c r="A113" s="262" t="s">
        <v>108</v>
      </c>
      <c r="B113" s="263"/>
      <c r="C113" s="264">
        <f>+B44/I9</f>
        <v>0.57234452406953473</v>
      </c>
    </row>
    <row r="114" spans="1:3" ht="13.5" thickTop="1" thickBot="1" x14ac:dyDescent="0.4">
      <c r="A114" s="265" t="s">
        <v>109</v>
      </c>
      <c r="B114" s="266"/>
      <c r="C114" s="267">
        <f>+B44/B37</f>
        <v>0.19824025974025977</v>
      </c>
    </row>
    <row r="115" spans="1:3" ht="13.5" thickTop="1" thickBot="1" x14ac:dyDescent="0.4">
      <c r="A115" s="268" t="s">
        <v>110</v>
      </c>
      <c r="B115" s="269"/>
      <c r="C115" s="270">
        <f>+B37/I9</f>
        <v>2.8871255759018744</v>
      </c>
    </row>
    <row r="116" spans="1:3" ht="13.5" thickTop="1" thickBot="1" x14ac:dyDescent="0.4">
      <c r="A116" s="265" t="s">
        <v>111</v>
      </c>
      <c r="B116" s="266"/>
      <c r="C116" s="271">
        <f>+C114*C115</f>
        <v>0.57234452406953462</v>
      </c>
    </row>
    <row r="117" spans="1:3" ht="13.5" thickTop="1" thickBot="1" x14ac:dyDescent="0.4">
      <c r="C117" s="261"/>
    </row>
    <row r="118" spans="1:3" ht="14.65" thickTop="1" thickBot="1" x14ac:dyDescent="0.45">
      <c r="A118" s="262" t="s">
        <v>112</v>
      </c>
      <c r="B118" s="263"/>
      <c r="C118" s="298">
        <f>+B48/I23</f>
        <v>0.60023186551799956</v>
      </c>
    </row>
    <row r="119" spans="1:3" ht="14.65" thickTop="1" thickBot="1" x14ac:dyDescent="0.45">
      <c r="A119" s="273" t="s">
        <v>113</v>
      </c>
      <c r="B119" s="274"/>
      <c r="C119" s="275">
        <v>1.1883600136661402E-2</v>
      </c>
    </row>
    <row r="120" spans="1:3" ht="14.65" thickTop="1" thickBot="1" x14ac:dyDescent="0.45">
      <c r="A120" s="276" t="s">
        <v>114</v>
      </c>
      <c r="B120" s="277"/>
      <c r="C120" s="278">
        <v>0.36502831666059504</v>
      </c>
    </row>
    <row r="121" spans="1:3" ht="14.65" thickTop="1" thickBot="1" x14ac:dyDescent="0.45">
      <c r="A121" s="273" t="s">
        <v>115</v>
      </c>
      <c r="B121" s="274"/>
      <c r="C121" s="279">
        <v>0.95755101653770291</v>
      </c>
    </row>
    <row r="122" spans="1:3" ht="14.65" thickTop="1" thickBot="1" x14ac:dyDescent="0.45">
      <c r="A122" s="276" t="s">
        <v>116</v>
      </c>
      <c r="B122" s="277"/>
      <c r="C122" s="278">
        <v>0.75</v>
      </c>
    </row>
    <row r="123" spans="1:3" ht="14.65" thickTop="1" thickBot="1" x14ac:dyDescent="0.45">
      <c r="A123" s="273" t="s">
        <v>20</v>
      </c>
      <c r="B123" s="274"/>
      <c r="C123" s="275">
        <v>0.54483386436049175</v>
      </c>
    </row>
    <row r="124" spans="1:3" ht="13.15" thickTop="1" x14ac:dyDescent="0.35"/>
  </sheetData>
  <mergeCells count="39">
    <mergeCell ref="A1:I1"/>
    <mergeCell ref="A2:I2"/>
    <mergeCell ref="A3:A4"/>
    <mergeCell ref="B3:B4"/>
    <mergeCell ref="C3:C4"/>
    <mergeCell ref="D3:D4"/>
    <mergeCell ref="E3:E4"/>
    <mergeCell ref="F3:F4"/>
    <mergeCell ref="G3:G4"/>
    <mergeCell ref="H3:H4"/>
    <mergeCell ref="I3:I4"/>
    <mergeCell ref="A11:A12"/>
    <mergeCell ref="B11:B12"/>
    <mergeCell ref="C11:C12"/>
    <mergeCell ref="D11:D12"/>
    <mergeCell ref="E11:E12"/>
    <mergeCell ref="F11:F12"/>
    <mergeCell ref="G11:G12"/>
    <mergeCell ref="H11:H12"/>
    <mergeCell ref="I11:I12"/>
    <mergeCell ref="G19:G20"/>
    <mergeCell ref="H19:H20"/>
    <mergeCell ref="I19:I20"/>
    <mergeCell ref="D19:D20"/>
    <mergeCell ref="E19:E20"/>
    <mergeCell ref="F19:F20"/>
    <mergeCell ref="H76:K76"/>
    <mergeCell ref="A50:A51"/>
    <mergeCell ref="B50:B51"/>
    <mergeCell ref="C50:C51"/>
    <mergeCell ref="A71:D71"/>
    <mergeCell ref="F76:F77"/>
    <mergeCell ref="G76:G77"/>
    <mergeCell ref="A35:A36"/>
    <mergeCell ref="B35:B36"/>
    <mergeCell ref="C35:C36"/>
    <mergeCell ref="A19:A20"/>
    <mergeCell ref="B19:B20"/>
    <mergeCell ref="C19:C20"/>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2DCE0-F267-4576-AD05-6109023B4DAD}">
  <dimension ref="A1:K124"/>
  <sheetViews>
    <sheetView tabSelected="1" workbookViewId="0">
      <selection activeCell="M4" sqref="M4"/>
    </sheetView>
  </sheetViews>
  <sheetFormatPr baseColWidth="10" defaultRowHeight="12.75" x14ac:dyDescent="0.35"/>
  <sheetData>
    <row r="1" spans="1:9" ht="130.9" customHeight="1" thickBot="1" x14ac:dyDescent="0.4">
      <c r="A1" s="395" t="s">
        <v>130</v>
      </c>
      <c r="B1" s="397"/>
      <c r="C1" s="397"/>
      <c r="D1" s="397"/>
      <c r="E1" s="397"/>
      <c r="F1" s="397"/>
      <c r="G1" s="397"/>
      <c r="H1" s="397"/>
      <c r="I1" s="397"/>
    </row>
    <row r="2" spans="1:9" ht="18" thickTop="1" thickBot="1" x14ac:dyDescent="0.5">
      <c r="A2" s="336" t="s">
        <v>0</v>
      </c>
      <c r="B2" s="337"/>
      <c r="C2" s="337"/>
      <c r="D2" s="337"/>
      <c r="E2" s="337"/>
      <c r="F2" s="337"/>
      <c r="G2" s="337"/>
      <c r="H2" s="337"/>
      <c r="I2" s="338"/>
    </row>
    <row r="3" spans="1:9" ht="13.15" thickTop="1" x14ac:dyDescent="0.35">
      <c r="A3" s="339" t="s">
        <v>1</v>
      </c>
      <c r="B3" s="341" t="s">
        <v>2</v>
      </c>
      <c r="C3" s="343">
        <v>1</v>
      </c>
      <c r="D3" s="343">
        <f>+C3+1</f>
        <v>2</v>
      </c>
      <c r="E3" s="343">
        <f>+D3+1</f>
        <v>3</v>
      </c>
      <c r="F3" s="343">
        <f>+E3+1</f>
        <v>4</v>
      </c>
      <c r="G3" s="343">
        <f>+F3+1</f>
        <v>5</v>
      </c>
      <c r="H3" s="343">
        <f>+G3+1</f>
        <v>6</v>
      </c>
      <c r="I3" s="345" t="s">
        <v>3</v>
      </c>
    </row>
    <row r="4" spans="1:9" ht="13.15" thickBot="1" x14ac:dyDescent="0.4">
      <c r="A4" s="340"/>
      <c r="B4" s="342"/>
      <c r="C4" s="344"/>
      <c r="D4" s="344"/>
      <c r="E4" s="344"/>
      <c r="F4" s="344"/>
      <c r="G4" s="344"/>
      <c r="H4" s="344"/>
      <c r="I4" s="346"/>
    </row>
    <row r="5" spans="1:9" ht="13.15" thickTop="1" x14ac:dyDescent="0.35">
      <c r="A5" s="2" t="str">
        <f>+'[2]Complementos de mujer'!A5</f>
        <v>Canon</v>
      </c>
      <c r="B5" s="57">
        <f>IF(B$24=0,0,D99)</f>
        <v>200000</v>
      </c>
      <c r="C5" s="216"/>
      <c r="D5" s="217"/>
      <c r="E5" s="217"/>
      <c r="F5" s="218">
        <f>IF($D$43=1,B43,0)</f>
        <v>-20000</v>
      </c>
      <c r="G5" s="217"/>
      <c r="H5" s="219"/>
      <c r="I5" s="57">
        <f>SUM(B5:H5)</f>
        <v>180000</v>
      </c>
    </row>
    <row r="6" spans="1:9" x14ac:dyDescent="0.35">
      <c r="A6" s="2" t="s">
        <v>5</v>
      </c>
      <c r="B6" s="84">
        <v>0</v>
      </c>
      <c r="C6" s="216"/>
      <c r="D6" s="218">
        <v>59215</v>
      </c>
      <c r="E6" s="218"/>
      <c r="F6" s="218"/>
      <c r="G6" s="218"/>
      <c r="H6" s="220"/>
      <c r="I6" s="84">
        <f>SUM(B6:H6)</f>
        <v>59215</v>
      </c>
    </row>
    <row r="7" spans="1:9" x14ac:dyDescent="0.35">
      <c r="A7" s="2" t="s">
        <v>6</v>
      </c>
      <c r="B7" s="84">
        <v>0</v>
      </c>
      <c r="C7" s="216">
        <v>100000</v>
      </c>
      <c r="D7" s="218"/>
      <c r="E7" s="218"/>
      <c r="F7" s="218"/>
      <c r="G7" s="218"/>
      <c r="H7" s="220"/>
      <c r="I7" s="84">
        <f>SUM(B7:H7)</f>
        <v>100000</v>
      </c>
    </row>
    <row r="8" spans="1:9" ht="13.15" thickBot="1" x14ac:dyDescent="0.4">
      <c r="A8" s="2" t="s">
        <v>7</v>
      </c>
      <c r="B8" s="84">
        <f>IF(B$24=0,0,B21+B13-B5)</f>
        <v>50000</v>
      </c>
      <c r="C8" s="216">
        <f>IF($D$37=1,B38-C7,0)</f>
        <v>1300000</v>
      </c>
      <c r="D8" s="218">
        <v>-865740</v>
      </c>
      <c r="E8" s="218">
        <f>IF($D$41=1,C54,0)</f>
        <v>-350000</v>
      </c>
      <c r="G8" s="218">
        <f>IF($D$45=1,C55,0)</f>
        <v>-5000</v>
      </c>
      <c r="H8" s="220">
        <f>IF($D$47=1,C56,0)</f>
        <v>-59725</v>
      </c>
      <c r="I8" s="84">
        <f>SUM(B8:H8)</f>
        <v>69535</v>
      </c>
    </row>
    <row r="9" spans="1:9" ht="15.75" thickTop="1" thickBot="1" x14ac:dyDescent="0.4">
      <c r="A9" s="8" t="s">
        <v>8</v>
      </c>
      <c r="B9" s="9">
        <f t="shared" ref="B9:I9" si="0">SUM(B5:B8)</f>
        <v>250000</v>
      </c>
      <c r="C9" s="221">
        <f t="shared" si="0"/>
        <v>1400000</v>
      </c>
      <c r="D9" s="10">
        <f t="shared" si="0"/>
        <v>-806525</v>
      </c>
      <c r="E9" s="10">
        <f t="shared" si="0"/>
        <v>-350000</v>
      </c>
      <c r="F9" s="10">
        <f t="shared" si="0"/>
        <v>-20000</v>
      </c>
      <c r="G9" s="10">
        <f t="shared" si="0"/>
        <v>-5000</v>
      </c>
      <c r="H9" s="10">
        <f t="shared" si="0"/>
        <v>-59725</v>
      </c>
      <c r="I9" s="9">
        <f t="shared" si="0"/>
        <v>408750</v>
      </c>
    </row>
    <row r="10" spans="1:9" ht="15.75" thickTop="1" thickBot="1" x14ac:dyDescent="0.4">
      <c r="A10" s="11"/>
      <c r="B10" s="12"/>
      <c r="C10" s="12"/>
      <c r="D10" s="12"/>
      <c r="E10" s="12"/>
      <c r="F10" s="12"/>
      <c r="G10" s="12"/>
      <c r="H10" s="12"/>
      <c r="I10" s="222"/>
    </row>
    <row r="11" spans="1:9" ht="13.15" thickTop="1" x14ac:dyDescent="0.35">
      <c r="A11" s="332" t="s">
        <v>9</v>
      </c>
      <c r="B11" s="326" t="str">
        <f t="shared" ref="B11:I11" si="1">+B3</f>
        <v>BALANCE INICIAL</v>
      </c>
      <c r="C11" s="334">
        <f t="shared" si="1"/>
        <v>1</v>
      </c>
      <c r="D11" s="324">
        <f t="shared" si="1"/>
        <v>2</v>
      </c>
      <c r="E11" s="324">
        <f t="shared" si="1"/>
        <v>3</v>
      </c>
      <c r="F11" s="324">
        <f t="shared" si="1"/>
        <v>4</v>
      </c>
      <c r="G11" s="324">
        <f t="shared" si="1"/>
        <v>5</v>
      </c>
      <c r="H11" s="387">
        <f t="shared" si="1"/>
        <v>6</v>
      </c>
      <c r="I11" s="326" t="str">
        <f t="shared" si="1"/>
        <v>BALANCE FINAL</v>
      </c>
    </row>
    <row r="12" spans="1:9" ht="13.15" thickBot="1" x14ac:dyDescent="0.4">
      <c r="A12" s="333"/>
      <c r="B12" s="327"/>
      <c r="C12" s="335"/>
      <c r="D12" s="325"/>
      <c r="E12" s="325"/>
      <c r="F12" s="325"/>
      <c r="G12" s="325"/>
      <c r="H12" s="388"/>
      <c r="I12" s="327"/>
    </row>
    <row r="13" spans="1:9" ht="13.15" thickTop="1" x14ac:dyDescent="0.35">
      <c r="A13" s="14" t="s">
        <v>10</v>
      </c>
      <c r="B13" s="57">
        <f>IF(B$24=0,0,D100)</f>
        <v>100000</v>
      </c>
      <c r="C13" s="223"/>
      <c r="D13" s="217"/>
      <c r="E13" s="217"/>
      <c r="F13" s="217"/>
      <c r="G13" s="217"/>
      <c r="H13" s="219"/>
      <c r="I13" s="84">
        <f>SUM(B13:H13)</f>
        <v>100000</v>
      </c>
    </row>
    <row r="14" spans="1:9" x14ac:dyDescent="0.35">
      <c r="A14" s="2" t="s">
        <v>11</v>
      </c>
      <c r="B14" s="84"/>
      <c r="C14" s="216"/>
      <c r="D14" s="218">
        <v>32075</v>
      </c>
      <c r="E14" s="218"/>
      <c r="F14" s="218"/>
      <c r="G14" s="218"/>
      <c r="H14" s="220"/>
      <c r="I14" s="84">
        <f>SUM(B14:H14)</f>
        <v>32075</v>
      </c>
    </row>
    <row r="15" spans="1:9" x14ac:dyDescent="0.35">
      <c r="A15" s="2" t="s">
        <v>12</v>
      </c>
      <c r="B15" s="84"/>
      <c r="C15" s="216"/>
      <c r="D15" s="218"/>
      <c r="E15" s="218"/>
      <c r="F15" s="218"/>
      <c r="G15" s="218"/>
      <c r="H15" s="220"/>
      <c r="I15" s="84">
        <f>SUM(B15:H15)</f>
        <v>0</v>
      </c>
    </row>
    <row r="16" spans="1:9" ht="13.15" thickBot="1" x14ac:dyDescent="0.4">
      <c r="A16" s="2" t="s">
        <v>13</v>
      </c>
      <c r="B16" s="84"/>
      <c r="C16" s="216"/>
      <c r="D16" s="218"/>
      <c r="E16" s="218"/>
      <c r="F16" s="218"/>
      <c r="G16" s="218"/>
      <c r="H16" s="220"/>
      <c r="I16" s="84">
        <f>SUM(B16:H16)</f>
        <v>0</v>
      </c>
    </row>
    <row r="17" spans="1:11" ht="13.9" thickTop="1" thickBot="1" x14ac:dyDescent="0.45">
      <c r="A17" s="17" t="s">
        <v>15</v>
      </c>
      <c r="B17" s="18">
        <f t="shared" ref="B17:I17" si="2">SUM(B13:B16)</f>
        <v>100000</v>
      </c>
      <c r="C17" s="224">
        <f t="shared" si="2"/>
        <v>0</v>
      </c>
      <c r="D17" s="18">
        <f t="shared" si="2"/>
        <v>32075</v>
      </c>
      <c r="E17" s="18">
        <f t="shared" si="2"/>
        <v>0</v>
      </c>
      <c r="F17" s="18">
        <f t="shared" si="2"/>
        <v>0</v>
      </c>
      <c r="G17" s="18">
        <f t="shared" si="2"/>
        <v>0</v>
      </c>
      <c r="H17" s="225">
        <f t="shared" si="2"/>
        <v>0</v>
      </c>
      <c r="I17" s="18">
        <f t="shared" si="2"/>
        <v>132075</v>
      </c>
      <c r="K17" s="31"/>
    </row>
    <row r="18" spans="1:11" ht="13.9" thickTop="1" thickBot="1" x14ac:dyDescent="0.45">
      <c r="A18" s="19"/>
      <c r="B18" s="12"/>
      <c r="C18" s="226"/>
      <c r="D18" s="226"/>
      <c r="E18" s="226"/>
      <c r="F18" s="226"/>
      <c r="G18" s="226"/>
      <c r="H18" s="226"/>
      <c r="I18" s="222"/>
    </row>
    <row r="19" spans="1:11" ht="13.15" thickTop="1" x14ac:dyDescent="0.35">
      <c r="A19" s="328" t="s">
        <v>16</v>
      </c>
      <c r="B19" s="311" t="s">
        <v>2</v>
      </c>
      <c r="C19" s="330">
        <f t="shared" ref="C19:H19" si="3">+C11</f>
        <v>1</v>
      </c>
      <c r="D19" s="309">
        <f t="shared" si="3"/>
        <v>2</v>
      </c>
      <c r="E19" s="309">
        <f t="shared" si="3"/>
        <v>3</v>
      </c>
      <c r="F19" s="309">
        <f t="shared" si="3"/>
        <v>4</v>
      </c>
      <c r="G19" s="309">
        <f t="shared" si="3"/>
        <v>5</v>
      </c>
      <c r="H19" s="391">
        <f t="shared" si="3"/>
        <v>6</v>
      </c>
      <c r="I19" s="311" t="s">
        <v>3</v>
      </c>
    </row>
    <row r="20" spans="1:11" ht="13.15" thickBot="1" x14ac:dyDescent="0.4">
      <c r="A20" s="329"/>
      <c r="B20" s="312"/>
      <c r="C20" s="331"/>
      <c r="D20" s="310"/>
      <c r="E20" s="310"/>
      <c r="F20" s="310"/>
      <c r="G20" s="310"/>
      <c r="H20" s="392"/>
      <c r="I20" s="312"/>
    </row>
    <row r="21" spans="1:11" ht="13.15" thickTop="1" x14ac:dyDescent="0.35">
      <c r="A21" s="14" t="s">
        <v>17</v>
      </c>
      <c r="B21" s="57">
        <f>IF(B$24=0,0,D101)</f>
        <v>150000</v>
      </c>
      <c r="C21" s="223"/>
      <c r="D21" s="217"/>
      <c r="E21" s="217"/>
      <c r="F21" s="217"/>
      <c r="G21" s="217"/>
      <c r="H21" s="219"/>
      <c r="I21" s="57">
        <f>SUM(B21:H21)</f>
        <v>150000</v>
      </c>
    </row>
    <row r="22" spans="1:11" ht="13.15" thickBot="1" x14ac:dyDescent="0.4">
      <c r="A22" s="22" t="s">
        <v>18</v>
      </c>
      <c r="B22" s="84"/>
      <c r="C22" s="216">
        <f>IF($D$37=1,B37,0)</f>
        <v>1400000</v>
      </c>
      <c r="D22" s="227">
        <f>IF($D$39=1,B39,0)</f>
        <v>-786100</v>
      </c>
      <c r="E22" s="218">
        <f>IF($D$41=1,B41,0)</f>
        <v>-350000</v>
      </c>
      <c r="F22" s="218">
        <f>IF($D$43=1,B43,0)</f>
        <v>-20000</v>
      </c>
      <c r="G22" s="218">
        <f>IF($D$45=1,B45,0)</f>
        <v>-5000</v>
      </c>
      <c r="H22" s="220">
        <f>IF($D$47=1,B47,0)</f>
        <v>-59725</v>
      </c>
      <c r="I22" s="84">
        <f>SUM(B22:H22)</f>
        <v>179175</v>
      </c>
    </row>
    <row r="23" spans="1:11" ht="15.75" thickTop="1" thickBot="1" x14ac:dyDescent="0.4">
      <c r="A23" s="23" t="s">
        <v>19</v>
      </c>
      <c r="B23" s="24">
        <f t="shared" ref="B23:I23" si="4">SUM(B21:B22)</f>
        <v>150000</v>
      </c>
      <c r="C23" s="228">
        <f t="shared" si="4"/>
        <v>1400000</v>
      </c>
      <c r="D23" s="24">
        <f t="shared" si="4"/>
        <v>-786100</v>
      </c>
      <c r="E23" s="24">
        <f t="shared" si="4"/>
        <v>-350000</v>
      </c>
      <c r="F23" s="24">
        <f t="shared" si="4"/>
        <v>-20000</v>
      </c>
      <c r="G23" s="24">
        <f t="shared" si="4"/>
        <v>-5000</v>
      </c>
      <c r="H23" s="229">
        <f t="shared" si="4"/>
        <v>-59725</v>
      </c>
      <c r="I23" s="24">
        <f t="shared" si="4"/>
        <v>329175</v>
      </c>
    </row>
    <row r="24" spans="1:11" ht="15.4" thickTop="1" x14ac:dyDescent="0.35">
      <c r="A24" s="230"/>
      <c r="B24" s="26">
        <v>1</v>
      </c>
      <c r="C24" s="231"/>
      <c r="D24" s="231"/>
      <c r="E24" s="231"/>
      <c r="F24" s="231"/>
      <c r="G24" s="231"/>
      <c r="H24" s="231"/>
      <c r="I24" s="231"/>
    </row>
    <row r="25" spans="1:11" x14ac:dyDescent="0.35">
      <c r="A25" s="232" t="s">
        <v>20</v>
      </c>
      <c r="B25" s="29">
        <f t="shared" ref="B25:I25" si="5">+B9-B17-B23</f>
        <v>0</v>
      </c>
      <c r="C25" s="29">
        <f t="shared" si="5"/>
        <v>0</v>
      </c>
      <c r="D25" s="29">
        <f t="shared" si="5"/>
        <v>-52500</v>
      </c>
      <c r="E25" s="29">
        <f t="shared" si="5"/>
        <v>0</v>
      </c>
      <c r="F25" s="29">
        <f t="shared" si="5"/>
        <v>0</v>
      </c>
      <c r="G25" s="29">
        <f t="shared" si="5"/>
        <v>0</v>
      </c>
      <c r="H25" s="29">
        <f t="shared" si="5"/>
        <v>0</v>
      </c>
      <c r="I25" s="29">
        <f t="shared" si="5"/>
        <v>-52500</v>
      </c>
    </row>
    <row r="26" spans="1:11" x14ac:dyDescent="0.35">
      <c r="B26" s="31">
        <f>+B9-B17-B23</f>
        <v>0</v>
      </c>
      <c r="C26" s="31"/>
      <c r="D26" s="31"/>
      <c r="E26" s="31"/>
      <c r="F26" s="31"/>
      <c r="G26" s="233"/>
      <c r="H26" s="234"/>
      <c r="I26" s="234"/>
    </row>
    <row r="27" spans="1:11" x14ac:dyDescent="0.35">
      <c r="G27" s="233"/>
      <c r="H27" s="234"/>
      <c r="I27" s="234"/>
    </row>
    <row r="28" spans="1:11" x14ac:dyDescent="0.35">
      <c r="G28" s="233"/>
      <c r="H28" s="234"/>
      <c r="I28" s="234"/>
    </row>
    <row r="29" spans="1:11" x14ac:dyDescent="0.35">
      <c r="G29" s="233"/>
      <c r="H29" s="234"/>
      <c r="I29" s="234"/>
    </row>
    <row r="30" spans="1:11" x14ac:dyDescent="0.35">
      <c r="G30" s="233"/>
      <c r="H30" s="234"/>
      <c r="I30" s="234"/>
    </row>
    <row r="31" spans="1:11" x14ac:dyDescent="0.35">
      <c r="G31" s="233"/>
      <c r="H31" s="234"/>
      <c r="I31" s="234"/>
    </row>
    <row r="32" spans="1:11" x14ac:dyDescent="0.35">
      <c r="G32" s="233"/>
      <c r="H32" s="234"/>
      <c r="I32" s="234"/>
    </row>
    <row r="33" spans="1:9" x14ac:dyDescent="0.35">
      <c r="G33" s="233"/>
      <c r="H33" s="234"/>
      <c r="I33" s="234"/>
    </row>
    <row r="34" spans="1:9" ht="13.15" thickBot="1" x14ac:dyDescent="0.4">
      <c r="B34" s="31"/>
      <c r="C34" s="31"/>
      <c r="D34" s="31"/>
      <c r="E34" s="31"/>
      <c r="F34" s="31"/>
      <c r="G34" s="233"/>
      <c r="H34" s="234"/>
      <c r="I34" s="234"/>
    </row>
    <row r="35" spans="1:9" ht="13.15" thickTop="1" x14ac:dyDescent="0.35">
      <c r="A35" s="318" t="s">
        <v>32</v>
      </c>
      <c r="B35" s="320" t="s">
        <v>33</v>
      </c>
      <c r="C35" s="322" t="s">
        <v>34</v>
      </c>
      <c r="D35" s="235"/>
      <c r="E35" s="235"/>
    </row>
    <row r="36" spans="1:9" ht="13.15" thickBot="1" x14ac:dyDescent="0.4">
      <c r="A36" s="319"/>
      <c r="B36" s="321"/>
      <c r="C36" s="323"/>
    </row>
    <row r="37" spans="1:9" ht="13.5" thickTop="1" x14ac:dyDescent="0.4">
      <c r="A37" s="56" t="s">
        <v>35</v>
      </c>
      <c r="B37" s="57">
        <f>IF($D37=1,G78,0)</f>
        <v>1400000</v>
      </c>
      <c r="C37" s="58">
        <f t="shared" ref="C37:C48" si="6">+B37/$B$37</f>
        <v>1</v>
      </c>
      <c r="D37" s="26">
        <v>1</v>
      </c>
      <c r="E37" s="59" t="s">
        <v>36</v>
      </c>
    </row>
    <row r="38" spans="1:9" ht="13.5" thickBot="1" x14ac:dyDescent="0.45">
      <c r="A38" s="60" t="s">
        <v>37</v>
      </c>
      <c r="B38" s="61">
        <f>+B37</f>
        <v>1400000</v>
      </c>
      <c r="C38" s="62">
        <f t="shared" si="6"/>
        <v>1</v>
      </c>
    </row>
    <row r="39" spans="1:9" ht="13.15" thickTop="1" x14ac:dyDescent="0.35">
      <c r="A39" s="63" t="s">
        <v>38</v>
      </c>
      <c r="B39" s="57">
        <f>IF($D39=1,G80,0)</f>
        <v>-786100</v>
      </c>
      <c r="C39" s="64">
        <f t="shared" si="6"/>
        <v>-0.5615</v>
      </c>
      <c r="D39" s="26">
        <v>1</v>
      </c>
      <c r="E39" s="59" t="s">
        <v>39</v>
      </c>
    </row>
    <row r="40" spans="1:9" ht="13.15" x14ac:dyDescent="0.4">
      <c r="A40" s="65" t="s">
        <v>40</v>
      </c>
      <c r="B40" s="66">
        <f>+B37+B39</f>
        <v>613900</v>
      </c>
      <c r="C40" s="67">
        <f t="shared" si="6"/>
        <v>0.4385</v>
      </c>
    </row>
    <row r="41" spans="1:9" x14ac:dyDescent="0.35">
      <c r="A41" s="68" t="s">
        <v>41</v>
      </c>
      <c r="B41" s="69">
        <f>IF($D41=1,-D85,0)</f>
        <v>-350000</v>
      </c>
      <c r="C41" s="70">
        <f t="shared" si="6"/>
        <v>-0.25</v>
      </c>
      <c r="D41" s="26">
        <v>1</v>
      </c>
      <c r="E41" s="59" t="s">
        <v>42</v>
      </c>
    </row>
    <row r="42" spans="1:9" ht="13.15" x14ac:dyDescent="0.4">
      <c r="A42" s="71" t="s">
        <v>43</v>
      </c>
      <c r="B42" s="72">
        <f>+B40+B41</f>
        <v>263900</v>
      </c>
      <c r="C42" s="67">
        <f t="shared" si="6"/>
        <v>0.1885</v>
      </c>
      <c r="F42" s="73"/>
      <c r="G42" s="73"/>
      <c r="H42" s="73"/>
    </row>
    <row r="43" spans="1:9" x14ac:dyDescent="0.35">
      <c r="A43" s="68" t="s">
        <v>44</v>
      </c>
      <c r="B43" s="69">
        <f>IF($D43=1,-B5/10,0)</f>
        <v>-20000</v>
      </c>
      <c r="C43" s="70">
        <f t="shared" si="6"/>
        <v>-1.4285714285714285E-2</v>
      </c>
      <c r="D43" s="26">
        <v>1</v>
      </c>
      <c r="E43" s="59" t="s">
        <v>45</v>
      </c>
      <c r="F43" s="74"/>
      <c r="G43" s="74"/>
      <c r="H43" s="74"/>
    </row>
    <row r="44" spans="1:9" ht="13.15" x14ac:dyDescent="0.4">
      <c r="A44" s="71" t="s">
        <v>46</v>
      </c>
      <c r="B44" s="72">
        <f>+B42+B43</f>
        <v>243900</v>
      </c>
      <c r="C44" s="67">
        <f t="shared" si="6"/>
        <v>0.17421428571428571</v>
      </c>
      <c r="F44" s="73"/>
      <c r="G44" s="73"/>
      <c r="H44" s="73"/>
    </row>
    <row r="45" spans="1:9" x14ac:dyDescent="0.35">
      <c r="A45" s="75" t="s">
        <v>47</v>
      </c>
      <c r="B45" s="69">
        <f>IF($D45=1,-B13*D86,0)</f>
        <v>-5000</v>
      </c>
      <c r="C45" s="70">
        <f t="shared" si="6"/>
        <v>-3.5714285714285713E-3</v>
      </c>
      <c r="D45" s="26">
        <v>1</v>
      </c>
      <c r="E45" s="59" t="s">
        <v>48</v>
      </c>
      <c r="F45" s="74"/>
      <c r="G45" s="74"/>
      <c r="H45" s="74"/>
    </row>
    <row r="46" spans="1:9" ht="13.15" x14ac:dyDescent="0.4">
      <c r="A46" s="71" t="s">
        <v>49</v>
      </c>
      <c r="B46" s="72">
        <f>+B44+B45</f>
        <v>238900</v>
      </c>
      <c r="C46" s="67">
        <f t="shared" si="6"/>
        <v>0.17064285714285715</v>
      </c>
      <c r="F46" s="73"/>
      <c r="G46" s="73"/>
      <c r="H46" s="73"/>
    </row>
    <row r="47" spans="1:9" x14ac:dyDescent="0.35">
      <c r="A47" s="68" t="s">
        <v>99</v>
      </c>
      <c r="B47" s="69">
        <f>IF($D47=1,-B46*D87,0)</f>
        <v>-59725</v>
      </c>
      <c r="C47" s="70">
        <f t="shared" si="6"/>
        <v>-4.2660714285714288E-2</v>
      </c>
      <c r="D47" s="26">
        <v>1</v>
      </c>
      <c r="E47" s="59" t="s">
        <v>51</v>
      </c>
      <c r="F47" s="74"/>
      <c r="G47" s="74"/>
      <c r="H47" s="74"/>
    </row>
    <row r="48" spans="1:9" ht="15" x14ac:dyDescent="0.35">
      <c r="A48" s="76" t="s">
        <v>52</v>
      </c>
      <c r="B48" s="77">
        <f>+B46+B47</f>
        <v>179175</v>
      </c>
      <c r="C48" s="78">
        <f t="shared" si="6"/>
        <v>0.12798214285714285</v>
      </c>
      <c r="D48" s="79"/>
      <c r="E48" s="79"/>
      <c r="F48" s="79"/>
      <c r="G48" s="79"/>
      <c r="H48" s="79"/>
    </row>
    <row r="49" spans="1:9" ht="13.15" thickBot="1" x14ac:dyDescent="0.4"/>
    <row r="50" spans="1:9" ht="13.15" thickTop="1" x14ac:dyDescent="0.35">
      <c r="A50" s="303" t="s">
        <v>53</v>
      </c>
      <c r="B50" s="305" t="s">
        <v>54</v>
      </c>
      <c r="C50" s="307" t="s">
        <v>53</v>
      </c>
      <c r="D50" s="235"/>
      <c r="E50" s="235"/>
      <c r="F50" s="235"/>
      <c r="G50" s="235"/>
      <c r="H50" s="235">
        <f>+H49*C40</f>
        <v>0</v>
      </c>
      <c r="I50" s="31"/>
    </row>
    <row r="51" spans="1:9" ht="13.15" thickBot="1" x14ac:dyDescent="0.4">
      <c r="A51" s="304"/>
      <c r="B51" s="306"/>
      <c r="C51" s="308"/>
      <c r="D51" s="235"/>
      <c r="E51" s="235"/>
      <c r="F51" s="235"/>
      <c r="G51" s="235"/>
      <c r="H51" s="235"/>
    </row>
    <row r="52" spans="1:9" ht="13.15" thickTop="1" x14ac:dyDescent="0.35">
      <c r="A52" s="80" t="s">
        <v>55</v>
      </c>
      <c r="B52" s="82">
        <v>0</v>
      </c>
      <c r="C52" s="82">
        <f>+C8</f>
        <v>1300000</v>
      </c>
      <c r="D52" s="236"/>
      <c r="E52" s="236"/>
      <c r="F52" s="236"/>
      <c r="G52" s="236"/>
      <c r="H52" s="236"/>
    </row>
    <row r="53" spans="1:9" x14ac:dyDescent="0.35">
      <c r="A53" s="75" t="s">
        <v>56</v>
      </c>
      <c r="B53" s="84">
        <v>0</v>
      </c>
      <c r="C53" s="84">
        <f>+D8</f>
        <v>-865740</v>
      </c>
      <c r="D53" s="31"/>
      <c r="E53" s="31"/>
      <c r="F53" s="31"/>
      <c r="G53" s="31"/>
      <c r="H53" s="31"/>
    </row>
    <row r="54" spans="1:9" x14ac:dyDescent="0.35">
      <c r="A54" s="68" t="s">
        <v>57</v>
      </c>
      <c r="B54" s="84">
        <v>0</v>
      </c>
      <c r="C54" s="84">
        <f>+B41</f>
        <v>-350000</v>
      </c>
      <c r="D54" s="31"/>
      <c r="E54" s="31"/>
      <c r="F54" s="31"/>
      <c r="G54" s="31"/>
      <c r="H54" s="31"/>
    </row>
    <row r="55" spans="1:9" x14ac:dyDescent="0.35">
      <c r="A55" s="68" t="s">
        <v>58</v>
      </c>
      <c r="B55" s="84"/>
      <c r="C55" s="84">
        <f>+B45</f>
        <v>-5000</v>
      </c>
      <c r="D55" s="31"/>
      <c r="E55" s="31"/>
      <c r="F55" s="31"/>
      <c r="G55" s="31"/>
      <c r="H55" s="31"/>
    </row>
    <row r="56" spans="1:9" ht="13.15" thickBot="1" x14ac:dyDescent="0.4">
      <c r="A56" s="68" t="s">
        <v>100</v>
      </c>
      <c r="B56" s="84"/>
      <c r="C56" s="84">
        <f>+B47</f>
        <v>-59725</v>
      </c>
      <c r="D56" s="31"/>
      <c r="E56" s="31"/>
      <c r="F56" s="31"/>
      <c r="G56" s="31"/>
      <c r="H56" s="31"/>
    </row>
    <row r="57" spans="1:9" ht="13.9" thickTop="1" thickBot="1" x14ac:dyDescent="0.45">
      <c r="A57" s="86" t="s">
        <v>60</v>
      </c>
      <c r="B57" s="87">
        <f>SUM(B52:B56)</f>
        <v>0</v>
      </c>
      <c r="C57" s="87">
        <f>SUM(C52:C56)</f>
        <v>19535</v>
      </c>
      <c r="D57" s="237"/>
      <c r="E57" s="237"/>
      <c r="F57" s="237"/>
      <c r="G57" s="237"/>
      <c r="H57" s="237"/>
    </row>
    <row r="58" spans="1:9" ht="13.15" thickTop="1" x14ac:dyDescent="0.35">
      <c r="A58" s="75" t="s">
        <v>61</v>
      </c>
      <c r="B58" s="57">
        <f>-B5</f>
        <v>-200000</v>
      </c>
      <c r="C58" s="57"/>
      <c r="D58" s="31"/>
      <c r="E58" s="31"/>
      <c r="F58" s="31"/>
      <c r="G58" s="31"/>
      <c r="H58" s="31"/>
    </row>
    <row r="59" spans="1:9" ht="13.15" thickBot="1" x14ac:dyDescent="0.4">
      <c r="A59" s="75"/>
      <c r="B59" s="238"/>
      <c r="C59" s="84">
        <f>SUM(B59:B59)</f>
        <v>0</v>
      </c>
      <c r="D59" s="31"/>
      <c r="E59" s="31"/>
      <c r="F59" s="31"/>
      <c r="G59" s="31"/>
      <c r="H59" s="31"/>
    </row>
    <row r="60" spans="1:9" ht="13.9" thickTop="1" thickBot="1" x14ac:dyDescent="0.45">
      <c r="A60" s="86" t="s">
        <v>62</v>
      </c>
      <c r="B60" s="87">
        <f>+B57+B58</f>
        <v>-200000</v>
      </c>
      <c r="C60" s="87">
        <f>+C58</f>
        <v>0</v>
      </c>
      <c r="D60" s="237"/>
      <c r="E60" s="237"/>
      <c r="F60" s="237"/>
      <c r="G60" s="237"/>
      <c r="H60" s="237"/>
    </row>
    <row r="61" spans="1:9" ht="13.15" thickTop="1" x14ac:dyDescent="0.35">
      <c r="A61" s="68" t="s">
        <v>63</v>
      </c>
      <c r="B61" s="84">
        <f>+B13</f>
        <v>100000</v>
      </c>
      <c r="C61" s="84"/>
      <c r="D61" s="31"/>
      <c r="E61" s="31"/>
      <c r="F61" s="31"/>
      <c r="G61" s="31"/>
      <c r="H61" s="31"/>
    </row>
    <row r="62" spans="1:9" x14ac:dyDescent="0.35">
      <c r="A62" s="68" t="s">
        <v>64</v>
      </c>
      <c r="B62" s="84">
        <f>+B21</f>
        <v>150000</v>
      </c>
      <c r="C62" s="84"/>
      <c r="D62" s="31"/>
      <c r="E62" s="31"/>
      <c r="F62" s="31"/>
      <c r="G62" s="31"/>
      <c r="H62" s="31"/>
    </row>
    <row r="63" spans="1:9" ht="13.15" thickBot="1" x14ac:dyDescent="0.4">
      <c r="A63" s="68" t="s">
        <v>65</v>
      </c>
      <c r="B63" s="84" t="e">
        <f>+#REF!</f>
        <v>#REF!</v>
      </c>
      <c r="C63" s="84">
        <f>IF(B67+C57+C60+C61+C62&lt;0,-(B67+C57+C60+C61+C62),0)</f>
        <v>0</v>
      </c>
      <c r="D63" s="31"/>
      <c r="E63" s="31"/>
      <c r="F63" s="31"/>
      <c r="G63" s="31"/>
      <c r="H63" s="31"/>
    </row>
    <row r="64" spans="1:9" ht="13.9" thickTop="1" thickBot="1" x14ac:dyDescent="0.45">
      <c r="A64" s="239" t="s">
        <v>66</v>
      </c>
      <c r="B64" s="91">
        <f>+B62+B61</f>
        <v>250000</v>
      </c>
      <c r="C64" s="91">
        <f>+C62+C61</f>
        <v>0</v>
      </c>
      <c r="D64" s="240"/>
      <c r="E64" s="240"/>
      <c r="F64" s="240"/>
      <c r="G64" s="240"/>
      <c r="H64" s="240"/>
    </row>
    <row r="65" spans="1:11" ht="15.75" thickTop="1" thickBot="1" x14ac:dyDescent="0.4">
      <c r="A65" s="93" t="s">
        <v>67</v>
      </c>
      <c r="B65" s="241">
        <f>+B57+B60+B64</f>
        <v>50000</v>
      </c>
      <c r="C65" s="241">
        <f>+C57+C60+C64</f>
        <v>19535</v>
      </c>
      <c r="D65" s="242"/>
      <c r="E65" s="242"/>
      <c r="F65" s="242"/>
      <c r="G65" s="242"/>
      <c r="H65" s="242"/>
    </row>
    <row r="66" spans="1:11" ht="13.9" thickTop="1" thickBot="1" x14ac:dyDescent="0.4">
      <c r="A66" s="96" t="s">
        <v>68</v>
      </c>
      <c r="B66" s="84">
        <v>0</v>
      </c>
      <c r="C66" s="97">
        <f>+B67</f>
        <v>50000</v>
      </c>
      <c r="D66" s="231"/>
      <c r="E66" s="231"/>
      <c r="F66" s="231"/>
      <c r="G66" s="231"/>
      <c r="H66" s="231"/>
    </row>
    <row r="67" spans="1:11" ht="13.9" thickTop="1" thickBot="1" x14ac:dyDescent="0.4">
      <c r="A67" s="98" t="s">
        <v>69</v>
      </c>
      <c r="B67" s="99">
        <f>+B65+B66</f>
        <v>50000</v>
      </c>
      <c r="C67" s="99">
        <f>+C65+C66</f>
        <v>69535</v>
      </c>
      <c r="D67" s="243"/>
      <c r="E67" s="243"/>
      <c r="F67" s="243"/>
      <c r="G67" s="243"/>
      <c r="H67" s="243"/>
    </row>
    <row r="68" spans="1:11" ht="13.15" thickTop="1" x14ac:dyDescent="0.35"/>
    <row r="71" spans="1:11" ht="15" x14ac:dyDescent="0.4">
      <c r="A71" s="393" t="s">
        <v>74</v>
      </c>
      <c r="B71" s="393"/>
      <c r="C71" s="393"/>
      <c r="D71" s="393"/>
      <c r="E71" s="31"/>
      <c r="F71" s="31"/>
      <c r="G71" s="31"/>
      <c r="H71" s="31"/>
      <c r="I71" s="31"/>
    </row>
    <row r="72" spans="1:11" ht="13.15" x14ac:dyDescent="0.4">
      <c r="A72" s="184"/>
      <c r="B72" s="185" t="s">
        <v>75</v>
      </c>
      <c r="C72" s="186" t="s">
        <v>76</v>
      </c>
      <c r="D72" s="186" t="s">
        <v>77</v>
      </c>
    </row>
    <row r="73" spans="1:11" ht="13.15" x14ac:dyDescent="0.4">
      <c r="A73" s="187" t="s">
        <v>78</v>
      </c>
      <c r="B73" s="188"/>
      <c r="C73" s="189"/>
      <c r="D73" s="189"/>
      <c r="E73" s="31"/>
      <c r="F73" s="31"/>
      <c r="G73" s="190"/>
    </row>
    <row r="74" spans="1:11" ht="13.15" x14ac:dyDescent="0.4">
      <c r="A74" s="191"/>
      <c r="B74" s="192"/>
      <c r="C74" s="193"/>
      <c r="D74" s="193"/>
    </row>
    <row r="75" spans="1:11" x14ac:dyDescent="0.35">
      <c r="A75" s="194" t="s">
        <v>79</v>
      </c>
      <c r="B75" s="195">
        <f>+'[2]Complementos de mujer'!B30</f>
        <v>1400000</v>
      </c>
      <c r="C75" s="196">
        <v>1</v>
      </c>
      <c r="D75" s="195">
        <f>+B75*C75</f>
        <v>1400000</v>
      </c>
      <c r="E75" s="31"/>
    </row>
    <row r="76" spans="1:11" x14ac:dyDescent="0.35">
      <c r="A76" s="194" t="s">
        <v>80</v>
      </c>
      <c r="B76" s="197"/>
      <c r="C76" s="198"/>
      <c r="D76" s="197">
        <f>+C76*B76</f>
        <v>0</v>
      </c>
      <c r="F76" s="313"/>
      <c r="G76" s="315" t="s">
        <v>21</v>
      </c>
      <c r="H76" s="394" t="s">
        <v>22</v>
      </c>
      <c r="I76" s="394"/>
      <c r="J76" s="394"/>
      <c r="K76" s="394"/>
    </row>
    <row r="77" spans="1:11" x14ac:dyDescent="0.35">
      <c r="A77" s="199" t="s">
        <v>81</v>
      </c>
      <c r="B77" s="197">
        <f>+'[2]Complementos de mujer'!C31</f>
        <v>0.35</v>
      </c>
      <c r="C77" s="196">
        <v>1</v>
      </c>
      <c r="D77" s="197">
        <f>+B77*C77</f>
        <v>0.35</v>
      </c>
      <c r="F77" s="314"/>
      <c r="G77" s="316"/>
      <c r="H77" s="283" t="str">
        <f>+'[2]Complementos de mujer'!C29</f>
        <v>BOLSOS</v>
      </c>
      <c r="I77" s="283" t="str">
        <f>+'[2]Complementos de mujer'!D29</f>
        <v>ZAPATERIA</v>
      </c>
      <c r="J77" s="283" t="str">
        <f>+'[2]Complementos de mujer'!E29</f>
        <v>JOYERIA</v>
      </c>
      <c r="K77" s="283" t="s">
        <v>26</v>
      </c>
    </row>
    <row r="78" spans="1:11" ht="13.15" x14ac:dyDescent="0.4">
      <c r="A78" s="194" t="s">
        <v>82</v>
      </c>
      <c r="B78" s="197">
        <f>+'[2]Complementos de mujer'!D31</f>
        <v>0.45</v>
      </c>
      <c r="C78" s="196">
        <v>1</v>
      </c>
      <c r="D78" s="197">
        <f>+B78*C78</f>
        <v>0.45</v>
      </c>
      <c r="F78" s="36" t="s">
        <v>27</v>
      </c>
      <c r="G78" s="38">
        <f>+D75</f>
        <v>1400000</v>
      </c>
      <c r="H78" s="38">
        <f>+$G$78*H79</f>
        <v>489999.99999999994</v>
      </c>
      <c r="I78" s="38">
        <f>+$G$78*I79</f>
        <v>630000</v>
      </c>
      <c r="J78" s="38">
        <f>+$G$78*J79</f>
        <v>70000</v>
      </c>
      <c r="K78" s="39">
        <f>+$G$78*K79</f>
        <v>210000.00000000003</v>
      </c>
    </row>
    <row r="79" spans="1:11" x14ac:dyDescent="0.35">
      <c r="A79" s="194" t="s">
        <v>83</v>
      </c>
      <c r="B79" s="197">
        <f>+'[2]Complementos de mujer'!E31</f>
        <v>0.05</v>
      </c>
      <c r="C79" s="196">
        <v>1</v>
      </c>
      <c r="D79" s="197">
        <f>+B79*C79</f>
        <v>0.05</v>
      </c>
      <c r="F79" s="40" t="s">
        <v>28</v>
      </c>
      <c r="G79" s="41">
        <f>SUM(H79:K79)</f>
        <v>1</v>
      </c>
      <c r="H79" s="201">
        <f>+D77</f>
        <v>0.35</v>
      </c>
      <c r="I79" s="201">
        <f>+D78</f>
        <v>0.45</v>
      </c>
      <c r="J79" s="201">
        <f>+D79</f>
        <v>0.05</v>
      </c>
      <c r="K79" s="201">
        <f>1-H79-I79-J79</f>
        <v>0.15000000000000002</v>
      </c>
    </row>
    <row r="80" spans="1:11" x14ac:dyDescent="0.35">
      <c r="A80" s="194" t="s">
        <v>84</v>
      </c>
      <c r="B80" s="197">
        <f>+'[2]Complementos de mujer'!F31</f>
        <v>0.15000000000000002</v>
      </c>
      <c r="C80" s="198"/>
      <c r="D80" s="197">
        <f>1-D79-D78-D77</f>
        <v>0.14999999999999997</v>
      </c>
      <c r="F80" s="44" t="s">
        <v>29</v>
      </c>
      <c r="G80" s="202">
        <f>-SUM(H80:K80)</f>
        <v>-786100</v>
      </c>
      <c r="H80" s="46">
        <f>+H78*(1-H82)</f>
        <v>284200</v>
      </c>
      <c r="I80" s="46">
        <f>+I78*(1-I82)</f>
        <v>384300</v>
      </c>
      <c r="J80" s="46">
        <f>+J78*(1-J82)</f>
        <v>23099.999999999996</v>
      </c>
      <c r="K80" s="46">
        <f>+K78*(1-K82)</f>
        <v>94500</v>
      </c>
    </row>
    <row r="81" spans="1:11" ht="13.15" x14ac:dyDescent="0.4">
      <c r="A81" s="203" t="s">
        <v>85</v>
      </c>
      <c r="B81" s="204">
        <f>+'[2]Complementos de mujer'!B34</f>
        <v>0.40100000000000002</v>
      </c>
      <c r="C81" s="205">
        <f>+D81/B81</f>
        <v>1.0935162094763091</v>
      </c>
      <c r="D81" s="204">
        <f>+G82</f>
        <v>0.4385</v>
      </c>
      <c r="E81" s="31"/>
      <c r="F81" s="47" t="s">
        <v>30</v>
      </c>
      <c r="G81" s="48">
        <f>SUM(H81:K81)</f>
        <v>613900</v>
      </c>
      <c r="H81" s="49">
        <f>+H78-H80</f>
        <v>205799.99999999994</v>
      </c>
      <c r="I81" s="49">
        <f>+I78-I80</f>
        <v>245700</v>
      </c>
      <c r="J81" s="49">
        <f>+J78-J80</f>
        <v>46900</v>
      </c>
      <c r="K81" s="49">
        <f>+K78-K80</f>
        <v>115500.00000000003</v>
      </c>
    </row>
    <row r="82" spans="1:11" ht="13.15" x14ac:dyDescent="0.4">
      <c r="A82" s="194"/>
      <c r="B82" s="197"/>
      <c r="C82" s="198"/>
      <c r="D82" s="197"/>
      <c r="F82" s="50" t="s">
        <v>31</v>
      </c>
      <c r="G82" s="51">
        <f>+G81/G78</f>
        <v>0.4385</v>
      </c>
      <c r="H82" s="52">
        <f>+'[2]Complementos de mujer'!C34</f>
        <v>0.42</v>
      </c>
      <c r="I82" s="52">
        <f>+'[2]Complementos de mujer'!D34</f>
        <v>0.39</v>
      </c>
      <c r="J82" s="52">
        <f>+'[2]Complementos de mujer'!E34</f>
        <v>0.67</v>
      </c>
      <c r="K82" s="300">
        <v>0.55000000000000004</v>
      </c>
    </row>
    <row r="83" spans="1:11" ht="13.15" x14ac:dyDescent="0.4">
      <c r="A83" s="187" t="s">
        <v>86</v>
      </c>
      <c r="B83" s="206"/>
      <c r="C83" s="207"/>
      <c r="D83" s="206"/>
      <c r="F83" s="208"/>
      <c r="G83" s="209"/>
      <c r="H83" s="210"/>
      <c r="I83" s="210"/>
      <c r="J83" s="210"/>
      <c r="K83" s="211"/>
    </row>
    <row r="84" spans="1:11" ht="13.15" x14ac:dyDescent="0.4">
      <c r="A84" s="191"/>
      <c r="B84" s="197"/>
      <c r="C84" s="198"/>
      <c r="D84" s="197"/>
      <c r="F84" s="208"/>
      <c r="G84" s="209"/>
      <c r="H84" s="210"/>
      <c r="I84" s="210"/>
      <c r="J84" s="210"/>
      <c r="K84" s="211"/>
    </row>
    <row r="85" spans="1:11" x14ac:dyDescent="0.35">
      <c r="A85" s="194" t="s">
        <v>87</v>
      </c>
      <c r="B85" s="195">
        <f>-'[2]Complementos de mujer'!B42</f>
        <v>350000</v>
      </c>
      <c r="C85" s="196">
        <v>1</v>
      </c>
      <c r="D85" s="195">
        <f>+B85*C85</f>
        <v>350000</v>
      </c>
      <c r="E85" s="31"/>
      <c r="F85" s="31"/>
      <c r="G85" s="190"/>
    </row>
    <row r="86" spans="1:11" x14ac:dyDescent="0.35">
      <c r="A86" s="194" t="s">
        <v>88</v>
      </c>
      <c r="B86" s="197">
        <v>0.05</v>
      </c>
      <c r="C86" s="196">
        <v>1</v>
      </c>
      <c r="D86" s="197">
        <f>+B86*C86</f>
        <v>0.05</v>
      </c>
      <c r="E86" s="31"/>
      <c r="F86" s="190"/>
    </row>
    <row r="87" spans="1:11" x14ac:dyDescent="0.35">
      <c r="A87" s="194" t="s">
        <v>89</v>
      </c>
      <c r="B87" s="197">
        <v>0.25</v>
      </c>
      <c r="C87" s="196">
        <v>1</v>
      </c>
      <c r="D87" s="197">
        <f>+B87*C87</f>
        <v>0.25</v>
      </c>
      <c r="E87" s="31"/>
      <c r="F87" s="190"/>
    </row>
    <row r="88" spans="1:11" x14ac:dyDescent="0.35">
      <c r="A88" s="194"/>
      <c r="B88" s="197"/>
      <c r="C88" s="198"/>
      <c r="D88" s="197"/>
      <c r="F88" s="190"/>
    </row>
    <row r="89" spans="1:11" ht="13.15" x14ac:dyDescent="0.4">
      <c r="A89" s="187" t="s">
        <v>90</v>
      </c>
      <c r="B89" s="206"/>
      <c r="C89" s="207"/>
      <c r="D89" s="206"/>
      <c r="F89" s="190"/>
    </row>
    <row r="90" spans="1:11" ht="13.15" x14ac:dyDescent="0.4">
      <c r="A90" s="212"/>
      <c r="B90" s="213"/>
      <c r="C90" s="214"/>
      <c r="D90" s="213"/>
      <c r="F90" s="190"/>
    </row>
    <row r="91" spans="1:11" x14ac:dyDescent="0.35">
      <c r="A91" s="194" t="s">
        <v>91</v>
      </c>
      <c r="B91" s="195">
        <v>15</v>
      </c>
      <c r="C91" s="196">
        <v>1</v>
      </c>
      <c r="D91" s="215">
        <f>+B91*C91</f>
        <v>15</v>
      </c>
      <c r="E91" s="31"/>
      <c r="F91" s="31"/>
      <c r="G91" s="190"/>
    </row>
    <row r="92" spans="1:11" x14ac:dyDescent="0.35">
      <c r="A92" s="194" t="s">
        <v>92</v>
      </c>
      <c r="B92" s="195">
        <v>15</v>
      </c>
      <c r="C92" s="196">
        <v>1</v>
      </c>
      <c r="D92" s="215">
        <f>+B92*C92</f>
        <v>15</v>
      </c>
      <c r="E92" s="31"/>
      <c r="F92" s="31"/>
      <c r="G92" s="190"/>
    </row>
    <row r="93" spans="1:11" x14ac:dyDescent="0.35">
      <c r="A93" s="194" t="s">
        <v>93</v>
      </c>
      <c r="B93" s="195">
        <v>30</v>
      </c>
      <c r="C93" s="196">
        <v>1</v>
      </c>
      <c r="D93" s="195">
        <f>+C93*B93</f>
        <v>30</v>
      </c>
      <c r="E93" s="31"/>
      <c r="F93" s="31"/>
      <c r="G93" s="190"/>
    </row>
    <row r="94" spans="1:11" x14ac:dyDescent="0.35">
      <c r="B94" s="31"/>
      <c r="F94" s="190"/>
    </row>
    <row r="95" spans="1:11" x14ac:dyDescent="0.35">
      <c r="A95" s="194" t="s">
        <v>94</v>
      </c>
      <c r="B95" s="31"/>
      <c r="D95" s="195">
        <f>-(+B39+(B39/360)*D93)</f>
        <v>851608.33333333337</v>
      </c>
      <c r="F95" s="190"/>
    </row>
    <row r="96" spans="1:11" x14ac:dyDescent="0.35">
      <c r="F96" s="190"/>
    </row>
    <row r="97" spans="1:6" ht="13.15" x14ac:dyDescent="0.4">
      <c r="A97" s="187" t="s">
        <v>95</v>
      </c>
      <c r="B97" s="206"/>
      <c r="C97" s="207"/>
      <c r="D97" s="206"/>
      <c r="F97" s="190"/>
    </row>
    <row r="98" spans="1:6" ht="13.15" x14ac:dyDescent="0.4">
      <c r="A98" s="212"/>
      <c r="B98" s="213"/>
      <c r="C98" s="214"/>
      <c r="D98" s="213"/>
      <c r="F98" s="190"/>
    </row>
    <row r="99" spans="1:6" x14ac:dyDescent="0.35">
      <c r="A99" s="194" t="s">
        <v>96</v>
      </c>
      <c r="B99" s="195">
        <f>+'[2]Complementos de mujer'!B5</f>
        <v>200000</v>
      </c>
      <c r="C99" s="196">
        <v>1</v>
      </c>
      <c r="D99" s="195">
        <f>+B99*C99</f>
        <v>200000</v>
      </c>
      <c r="E99" s="31"/>
      <c r="F99" s="190"/>
    </row>
    <row r="100" spans="1:6" x14ac:dyDescent="0.35">
      <c r="A100" s="194" t="s">
        <v>97</v>
      </c>
      <c r="B100" s="195">
        <f>+'[2]Complementos de mujer'!B13</f>
        <v>100000</v>
      </c>
      <c r="C100" s="196">
        <v>1</v>
      </c>
      <c r="D100" s="195">
        <f>+B100*C100</f>
        <v>100000</v>
      </c>
      <c r="E100" s="31"/>
      <c r="F100" s="190"/>
    </row>
    <row r="101" spans="1:6" x14ac:dyDescent="0.35">
      <c r="A101" s="194" t="s">
        <v>98</v>
      </c>
      <c r="B101" s="195">
        <f>+'[2]Complementos de mujer'!B22</f>
        <v>150000</v>
      </c>
      <c r="C101" s="196">
        <v>1</v>
      </c>
      <c r="D101" s="195">
        <f>+B101*C101</f>
        <v>150000</v>
      </c>
      <c r="E101" s="31"/>
      <c r="F101" s="190"/>
    </row>
    <row r="102" spans="1:6" x14ac:dyDescent="0.35">
      <c r="F102" s="190"/>
    </row>
    <row r="103" spans="1:6" ht="13.15" thickBot="1" x14ac:dyDescent="0.4">
      <c r="F103" s="190"/>
    </row>
    <row r="104" spans="1:6" ht="18" thickTop="1" thickBot="1" x14ac:dyDescent="0.5">
      <c r="A104" s="244" t="s">
        <v>101</v>
      </c>
      <c r="B104" s="245"/>
      <c r="C104" s="246" t="s">
        <v>102</v>
      </c>
      <c r="F104" s="190"/>
    </row>
    <row r="105" spans="1:6" ht="14.25" thickTop="1" thickBot="1" x14ac:dyDescent="0.4">
      <c r="A105" s="247" t="s">
        <v>103</v>
      </c>
      <c r="B105" s="248"/>
      <c r="C105" s="249">
        <v>37000</v>
      </c>
    </row>
    <row r="106" spans="1:6" ht="14.25" thickTop="1" thickBot="1" x14ac:dyDescent="0.4">
      <c r="A106" s="250" t="s">
        <v>104</v>
      </c>
      <c r="B106" s="251"/>
      <c r="C106" s="252">
        <v>8.8999999999999996E-2</v>
      </c>
    </row>
    <row r="107" spans="1:6" ht="14.25" thickTop="1" thickBot="1" x14ac:dyDescent="0.4">
      <c r="A107" s="247" t="s">
        <v>105</v>
      </c>
      <c r="B107" s="248"/>
      <c r="C107" s="249">
        <v>415730.3370786517</v>
      </c>
    </row>
    <row r="108" spans="1:6" ht="14.25" thickTop="1" thickBot="1" x14ac:dyDescent="0.4">
      <c r="A108" s="253" t="s">
        <v>106</v>
      </c>
      <c r="B108" s="251"/>
      <c r="C108" s="252">
        <v>0.46701238836070297</v>
      </c>
    </row>
    <row r="109" spans="1:6" ht="14.25" thickTop="1" thickBot="1" x14ac:dyDescent="0.4">
      <c r="A109" s="247" t="s">
        <v>20</v>
      </c>
      <c r="B109" s="248"/>
      <c r="C109" s="249">
        <v>0</v>
      </c>
    </row>
    <row r="110" spans="1:6" ht="13.15" thickTop="1" x14ac:dyDescent="0.35">
      <c r="A110" s="59"/>
      <c r="B110" s="254"/>
      <c r="C110" s="255"/>
    </row>
    <row r="111" spans="1:6" ht="17.649999999999999" thickBot="1" x14ac:dyDescent="0.5">
      <c r="A111" s="256" t="s">
        <v>107</v>
      </c>
      <c r="B111" s="257"/>
      <c r="C111" s="258"/>
    </row>
    <row r="112" spans="1:6" ht="13.5" thickTop="1" thickBot="1" x14ac:dyDescent="0.4">
      <c r="A112" s="259"/>
      <c r="B112" s="260"/>
      <c r="C112" s="261"/>
    </row>
    <row r="113" spans="1:3" ht="14.65" thickTop="1" thickBot="1" x14ac:dyDescent="0.45">
      <c r="A113" s="262" t="s">
        <v>108</v>
      </c>
      <c r="B113" s="263"/>
      <c r="C113" s="264">
        <f>+B44/I9</f>
        <v>0.59669724770642207</v>
      </c>
    </row>
    <row r="114" spans="1:3" ht="13.5" thickTop="1" thickBot="1" x14ac:dyDescent="0.4">
      <c r="A114" s="265" t="s">
        <v>109</v>
      </c>
      <c r="B114" s="266"/>
      <c r="C114" s="267">
        <f>+B44/B37</f>
        <v>0.17421428571428571</v>
      </c>
    </row>
    <row r="115" spans="1:3" ht="13.5" thickTop="1" thickBot="1" x14ac:dyDescent="0.4">
      <c r="A115" s="268" t="s">
        <v>110</v>
      </c>
      <c r="B115" s="269"/>
      <c r="C115" s="270">
        <f>+B37/I9</f>
        <v>3.4250764525993884</v>
      </c>
    </row>
    <row r="116" spans="1:3" ht="13.5" thickTop="1" thickBot="1" x14ac:dyDescent="0.4">
      <c r="A116" s="265" t="s">
        <v>111</v>
      </c>
      <c r="B116" s="266"/>
      <c r="C116" s="271">
        <f>+C114*C115</f>
        <v>0.59669724770642196</v>
      </c>
    </row>
    <row r="117" spans="1:3" ht="13.5" thickTop="1" thickBot="1" x14ac:dyDescent="0.4">
      <c r="C117" s="261"/>
    </row>
    <row r="118" spans="1:3" ht="14.65" thickTop="1" thickBot="1" x14ac:dyDescent="0.45">
      <c r="A118" s="262" t="s">
        <v>112</v>
      </c>
      <c r="B118" s="263"/>
      <c r="C118" s="298">
        <f>+B48/I23</f>
        <v>0.54431533378901797</v>
      </c>
    </row>
    <row r="119" spans="1:3" ht="14.65" thickTop="1" thickBot="1" x14ac:dyDescent="0.45">
      <c r="A119" s="273" t="s">
        <v>113</v>
      </c>
      <c r="B119" s="274"/>
      <c r="C119" s="275">
        <v>1.1883600136661402E-2</v>
      </c>
    </row>
    <row r="120" spans="1:3" ht="14.65" thickTop="1" thickBot="1" x14ac:dyDescent="0.45">
      <c r="A120" s="276" t="s">
        <v>114</v>
      </c>
      <c r="B120" s="277"/>
      <c r="C120" s="278">
        <v>0.36502831666059504</v>
      </c>
    </row>
    <row r="121" spans="1:3" ht="14.65" thickTop="1" thickBot="1" x14ac:dyDescent="0.45">
      <c r="A121" s="273" t="s">
        <v>115</v>
      </c>
      <c r="B121" s="274"/>
      <c r="C121" s="279">
        <v>0.95755101653770291</v>
      </c>
    </row>
    <row r="122" spans="1:3" ht="14.65" thickTop="1" thickBot="1" x14ac:dyDescent="0.45">
      <c r="A122" s="276" t="s">
        <v>116</v>
      </c>
      <c r="B122" s="277"/>
      <c r="C122" s="278">
        <v>0.75</v>
      </c>
    </row>
    <row r="123" spans="1:3" ht="14.65" thickTop="1" thickBot="1" x14ac:dyDescent="0.45">
      <c r="A123" s="273" t="s">
        <v>20</v>
      </c>
      <c r="B123" s="274"/>
      <c r="C123" s="275">
        <v>0.54483386436049175</v>
      </c>
    </row>
    <row r="124" spans="1:3" ht="13.15" thickTop="1" x14ac:dyDescent="0.35"/>
  </sheetData>
  <mergeCells count="39">
    <mergeCell ref="A1:I1"/>
    <mergeCell ref="A2:I2"/>
    <mergeCell ref="A3:A4"/>
    <mergeCell ref="B3:B4"/>
    <mergeCell ref="C3:C4"/>
    <mergeCell ref="D3:D4"/>
    <mergeCell ref="E3:E4"/>
    <mergeCell ref="F3:F4"/>
    <mergeCell ref="G3:G4"/>
    <mergeCell ref="H3:H4"/>
    <mergeCell ref="I3:I4"/>
    <mergeCell ref="A11:A12"/>
    <mergeCell ref="B11:B12"/>
    <mergeCell ref="C11:C12"/>
    <mergeCell ref="D11:D12"/>
    <mergeCell ref="E11:E12"/>
    <mergeCell ref="F11:F12"/>
    <mergeCell ref="G11:G12"/>
    <mergeCell ref="H11:H12"/>
    <mergeCell ref="I11:I12"/>
    <mergeCell ref="G19:G20"/>
    <mergeCell ref="H19:H20"/>
    <mergeCell ref="I19:I20"/>
    <mergeCell ref="D19:D20"/>
    <mergeCell ref="E19:E20"/>
    <mergeCell ref="F19:F20"/>
    <mergeCell ref="H76:K76"/>
    <mergeCell ref="A50:A51"/>
    <mergeCell ref="B50:B51"/>
    <mergeCell ref="C50:C51"/>
    <mergeCell ref="A71:D71"/>
    <mergeCell ref="F76:F77"/>
    <mergeCell ref="G76:G77"/>
    <mergeCell ref="A35:A36"/>
    <mergeCell ref="B35:B36"/>
    <mergeCell ref="C35:C36"/>
    <mergeCell ref="A19:A20"/>
    <mergeCell ref="B19:B20"/>
    <mergeCell ref="C19:C20"/>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3</vt:i4>
      </vt:variant>
    </vt:vector>
  </HeadingPairs>
  <TitlesOfParts>
    <vt:vector size="15" baseType="lpstr">
      <vt:lpstr>Complementos de mujer (1)</vt:lpstr>
      <vt:lpstr>Complementos de mujer (2)</vt:lpstr>
      <vt:lpstr>Complementos de mujer (3)</vt:lpstr>
      <vt:lpstr>Complementos de mujer (4)</vt:lpstr>
      <vt:lpstr>Complementos de mujer (5)</vt:lpstr>
      <vt:lpstr>Complementos de mujer (6)</vt:lpstr>
      <vt:lpstr>Complementos de mujer (7A)</vt:lpstr>
      <vt:lpstr>Complementos de mujer (7B)</vt:lpstr>
      <vt:lpstr>Complementos de mujer (7C)</vt:lpstr>
      <vt:lpstr>Complementos de mujer (8A)</vt:lpstr>
      <vt:lpstr>Complementos de mujer (8B)</vt:lpstr>
      <vt:lpstr>Complementos de mujer (8C)</vt:lpstr>
      <vt:lpstr>'Complementos de mujer (1)'!Área_de_impresión</vt:lpstr>
      <vt:lpstr>'Complementos de mujer (2)'!Área_de_impresión</vt:lpstr>
      <vt:lpstr>'Complementos de mujer (3)'!Área_de_impresión</vt:lpstr>
    </vt:vector>
  </TitlesOfParts>
  <Company>ESIC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Iñigo IVO. Valenciaga Oyarzabal</dc:creator>
  <cp:lastModifiedBy>Teresa Rey</cp:lastModifiedBy>
  <dcterms:created xsi:type="dcterms:W3CDTF">2018-11-07T15:34:22Z</dcterms:created>
  <dcterms:modified xsi:type="dcterms:W3CDTF">2020-03-16T12:50:07Z</dcterms:modified>
</cp:coreProperties>
</file>