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omariz\Desktop\"/>
    </mc:Choice>
  </mc:AlternateContent>
  <xr:revisionPtr revIDLastSave="0" documentId="8_{B72FF68E-A797-4E72-A856-E713EEE5A243}" xr6:coauthVersionLast="41" xr6:coauthVersionMax="41" xr10:uidLastSave="{00000000-0000-0000-0000-000000000000}"/>
  <bookViews>
    <workbookView xWindow="-98" yWindow="-98" windowWidth="20715" windowHeight="13276" activeTab="1"/>
  </bookViews>
  <sheets>
    <sheet name="Complementos de mujer" sheetId="6" r:id="rId1"/>
    <sheet name="Complementos de mujer 2" sheetId="7" r:id="rId2"/>
    <sheet name="Hoja3" sheetId="3" r:id="rId3"/>
    <sheet name="Hoja 4" sheetId="4" r:id="rId4"/>
  </sheets>
  <externalReferences>
    <externalReference r:id="rId5"/>
  </externalReferences>
  <definedNames>
    <definedName name="_xlnm.Print_Area" localSheetId="0">'Complementos de mujer'!$A$1:$I$71</definedName>
    <definedName name="_xlnm.Print_Area" localSheetId="1">'Complementos de mujer 2'!$A$1:$I$70</definedName>
    <definedName name="_xlnm.Print_Area" localSheetId="3">'Hoja 4'!#REF!</definedName>
  </definedNames>
  <calcPr calcId="181029"/>
</workbook>
</file>

<file path=xl/calcChain.xml><?xml version="1.0" encoding="utf-8"?>
<calcChain xmlns="http://schemas.openxmlformats.org/spreadsheetml/2006/main">
  <c r="B101" i="7" l="1"/>
  <c r="D101" i="7"/>
  <c r="B21" i="7"/>
  <c r="B100" i="7"/>
  <c r="D100" i="7"/>
  <c r="B13" i="7"/>
  <c r="B99" i="7"/>
  <c r="D99" i="7"/>
  <c r="B5" i="7"/>
  <c r="D93" i="7"/>
  <c r="D92" i="7"/>
  <c r="D91" i="7"/>
  <c r="D87" i="7"/>
  <c r="D86" i="7"/>
  <c r="B85" i="7"/>
  <c r="D85" i="7"/>
  <c r="B41" i="7"/>
  <c r="K82" i="7"/>
  <c r="J82" i="7"/>
  <c r="I82" i="7"/>
  <c r="H82" i="7"/>
  <c r="B81" i="7"/>
  <c r="B80" i="7"/>
  <c r="D79" i="7"/>
  <c r="D80" i="7"/>
  <c r="B79" i="7"/>
  <c r="B78" i="7"/>
  <c r="D78" i="7"/>
  <c r="I79" i="7"/>
  <c r="J77" i="7"/>
  <c r="I77" i="7"/>
  <c r="H77" i="7"/>
  <c r="D77" i="7"/>
  <c r="H79" i="7"/>
  <c r="B77" i="7"/>
  <c r="D76" i="7"/>
  <c r="B75" i="7"/>
  <c r="D75" i="7"/>
  <c r="G78" i="7"/>
  <c r="C64" i="7"/>
  <c r="B63" i="7"/>
  <c r="C60" i="7"/>
  <c r="C59" i="7"/>
  <c r="B57" i="7"/>
  <c r="C53" i="7"/>
  <c r="H17" i="7"/>
  <c r="G17" i="7"/>
  <c r="F17" i="7"/>
  <c r="E17" i="7"/>
  <c r="D17" i="7"/>
  <c r="C17" i="7"/>
  <c r="I16" i="7"/>
  <c r="I15" i="7"/>
  <c r="I14" i="7"/>
  <c r="I11" i="7"/>
  <c r="D11" i="7"/>
  <c r="D19" i="7"/>
  <c r="C11" i="7"/>
  <c r="C19" i="7"/>
  <c r="B11" i="7"/>
  <c r="D9" i="7"/>
  <c r="I7" i="7"/>
  <c r="I6" i="7"/>
  <c r="A5" i="7"/>
  <c r="E3" i="7"/>
  <c r="E11" i="7"/>
  <c r="E19" i="7"/>
  <c r="D3" i="7"/>
  <c r="B61" i="6"/>
  <c r="B58" i="6"/>
  <c r="I24" i="6"/>
  <c r="H24" i="6"/>
  <c r="G24" i="6"/>
  <c r="F24" i="6"/>
  <c r="E24" i="6"/>
  <c r="D24" i="6"/>
  <c r="C24" i="6"/>
  <c r="B24" i="6"/>
  <c r="F33" i="6"/>
  <c r="E33" i="6"/>
  <c r="D33" i="6"/>
  <c r="B33" i="6"/>
  <c r="B34" i="6"/>
  <c r="C33" i="6"/>
  <c r="C65" i="6"/>
  <c r="C66" i="6"/>
  <c r="B65" i="6"/>
  <c r="B64" i="6"/>
  <c r="B63" i="6"/>
  <c r="B62" i="6"/>
  <c r="B59" i="6"/>
  <c r="B49" i="6"/>
  <c r="C49" i="6"/>
  <c r="B46" i="6"/>
  <c r="C46" i="6"/>
  <c r="B44" i="6"/>
  <c r="C44" i="6"/>
  <c r="B42" i="6"/>
  <c r="C42" i="6"/>
  <c r="B41" i="6"/>
  <c r="B43" i="6"/>
  <c r="B40" i="6"/>
  <c r="C40" i="6"/>
  <c r="B39" i="6"/>
  <c r="C39" i="6"/>
  <c r="B38" i="6"/>
  <c r="C38" i="6"/>
  <c r="B30" i="6"/>
  <c r="F31" i="6"/>
  <c r="B31" i="6"/>
  <c r="G23" i="6"/>
  <c r="E23" i="6"/>
  <c r="C23" i="6"/>
  <c r="I22" i="6"/>
  <c r="B22" i="6"/>
  <c r="I17" i="6"/>
  <c r="I16" i="6"/>
  <c r="I15" i="6"/>
  <c r="I14" i="6"/>
  <c r="B13" i="6"/>
  <c r="I13" i="6"/>
  <c r="I18" i="6"/>
  <c r="I7" i="6"/>
  <c r="I6" i="6"/>
  <c r="F5" i="6"/>
  <c r="F9" i="6"/>
  <c r="B18" i="6"/>
  <c r="H18" i="6"/>
  <c r="G18" i="6"/>
  <c r="F18" i="6"/>
  <c r="E18" i="6"/>
  <c r="D18" i="6"/>
  <c r="D3" i="6"/>
  <c r="E3" i="6"/>
  <c r="C18" i="6"/>
  <c r="C11" i="6"/>
  <c r="C20" i="6"/>
  <c r="I11" i="6"/>
  <c r="B11" i="6"/>
  <c r="E11" i="6"/>
  <c r="E20" i="6"/>
  <c r="F3" i="6"/>
  <c r="D11" i="6"/>
  <c r="D20" i="6"/>
  <c r="G3" i="6"/>
  <c r="F11" i="6"/>
  <c r="F20" i="6"/>
  <c r="H3" i="6"/>
  <c r="H11" i="6"/>
  <c r="H20" i="6"/>
  <c r="G11" i="6"/>
  <c r="G20" i="6"/>
  <c r="B66" i="6"/>
  <c r="B8" i="6"/>
  <c r="B9" i="6"/>
  <c r="B68" i="6"/>
  <c r="C43" i="6"/>
  <c r="B45" i="6"/>
  <c r="D23" i="6"/>
  <c r="C53" i="6"/>
  <c r="C8" i="6"/>
  <c r="C9" i="6"/>
  <c r="C41" i="6"/>
  <c r="F23" i="6"/>
  <c r="C54" i="6"/>
  <c r="D8" i="6"/>
  <c r="D9" i="6"/>
  <c r="B32" i="6"/>
  <c r="I5" i="6"/>
  <c r="C67" i="6"/>
  <c r="C68" i="6"/>
  <c r="C64" i="6"/>
  <c r="C45" i="6"/>
  <c r="B47" i="6"/>
  <c r="C55" i="6"/>
  <c r="E8" i="6"/>
  <c r="B48" i="6"/>
  <c r="C47" i="6"/>
  <c r="E9" i="6"/>
  <c r="C48" i="6"/>
  <c r="H23" i="6"/>
  <c r="I23" i="6"/>
  <c r="C57" i="6"/>
  <c r="H8" i="6"/>
  <c r="H9" i="6"/>
  <c r="C56" i="6"/>
  <c r="C58" i="6"/>
  <c r="G8" i="6"/>
  <c r="G9" i="6"/>
  <c r="I8" i="6"/>
  <c r="I9" i="6"/>
  <c r="B58" i="7"/>
  <c r="B43" i="7"/>
  <c r="B9" i="7"/>
  <c r="B61" i="7"/>
  <c r="B45" i="7"/>
  <c r="B17" i="7"/>
  <c r="I13" i="7"/>
  <c r="I17" i="7"/>
  <c r="H78" i="7"/>
  <c r="J78" i="7"/>
  <c r="B37" i="7"/>
  <c r="I78" i="7"/>
  <c r="E22" i="7"/>
  <c r="E23" i="7"/>
  <c r="C54" i="7"/>
  <c r="E8" i="7"/>
  <c r="E9" i="7"/>
  <c r="E25" i="7"/>
  <c r="C41" i="7"/>
  <c r="B8" i="7"/>
  <c r="I21" i="7"/>
  <c r="B62" i="7"/>
  <c r="B23" i="7"/>
  <c r="J79" i="7"/>
  <c r="K79" i="7"/>
  <c r="F3" i="7"/>
  <c r="B60" i="7"/>
  <c r="K78" i="7"/>
  <c r="G79" i="7"/>
  <c r="B38" i="7"/>
  <c r="C37" i="7"/>
  <c r="C22" i="7"/>
  <c r="B26" i="7"/>
  <c r="B25" i="7"/>
  <c r="J80" i="7"/>
  <c r="J81" i="7"/>
  <c r="G3" i="7"/>
  <c r="F11" i="7"/>
  <c r="F19" i="7"/>
  <c r="B64" i="7"/>
  <c r="B65" i="7"/>
  <c r="B67" i="7"/>
  <c r="C43" i="7"/>
  <c r="F5" i="7"/>
  <c r="F22" i="7"/>
  <c r="F23" i="7"/>
  <c r="I81" i="7"/>
  <c r="I80" i="7"/>
  <c r="H80" i="7"/>
  <c r="C45" i="7"/>
  <c r="C55" i="7"/>
  <c r="G8" i="7"/>
  <c r="G9" i="7"/>
  <c r="G22" i="7"/>
  <c r="G23" i="7"/>
  <c r="C66" i="7"/>
  <c r="H3" i="7"/>
  <c r="H11" i="7"/>
  <c r="H19" i="7"/>
  <c r="G11" i="7"/>
  <c r="G19" i="7"/>
  <c r="C23" i="7"/>
  <c r="H81" i="7"/>
  <c r="G25" i="7"/>
  <c r="F9" i="7"/>
  <c r="F25" i="7"/>
  <c r="I5" i="7"/>
  <c r="C8" i="7"/>
  <c r="C38" i="7"/>
  <c r="K80" i="7"/>
  <c r="G80" i="7"/>
  <c r="B39" i="7"/>
  <c r="C39" i="7"/>
  <c r="D22" i="7"/>
  <c r="D95" i="7"/>
  <c r="B40" i="7"/>
  <c r="C52" i="7"/>
  <c r="C9" i="7"/>
  <c r="C25" i="7"/>
  <c r="G81" i="7"/>
  <c r="G82" i="7"/>
  <c r="D81" i="7"/>
  <c r="C81" i="7"/>
  <c r="K81" i="7"/>
  <c r="B42" i="7"/>
  <c r="C40" i="7"/>
  <c r="H50" i="7"/>
  <c r="D23" i="7"/>
  <c r="D25" i="7"/>
  <c r="B44" i="7"/>
  <c r="C42" i="7"/>
  <c r="B46" i="7"/>
  <c r="C44" i="7"/>
  <c r="C46" i="7"/>
  <c r="B47" i="7"/>
  <c r="C56" i="7"/>
  <c r="C47" i="7"/>
  <c r="H22" i="7"/>
  <c r="B48" i="7"/>
  <c r="C48" i="7"/>
  <c r="H23" i="7"/>
  <c r="I22" i="7"/>
  <c r="I23" i="7"/>
  <c r="H8" i="7"/>
  <c r="C57" i="7"/>
  <c r="C65" i="7"/>
  <c r="C67" i="7"/>
  <c r="C63" i="7"/>
  <c r="H9" i="7"/>
  <c r="H25" i="7"/>
  <c r="I8" i="7"/>
  <c r="I9" i="7"/>
  <c r="I25" i="7"/>
</calcChain>
</file>

<file path=xl/comments1.xml><?xml version="1.0" encoding="utf-8"?>
<comments xmlns="http://schemas.openxmlformats.org/spreadsheetml/2006/main">
  <authors>
    <author>Eduardo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<sst xmlns="http://schemas.openxmlformats.org/spreadsheetml/2006/main" count="167" uniqueCount="98">
  <si>
    <t>ACTIVO</t>
  </si>
  <si>
    <t>MOMENTO  INICIAL</t>
  </si>
  <si>
    <t>Existencias</t>
  </si>
  <si>
    <t>Tesorería</t>
  </si>
  <si>
    <t>TOTAL ACTIVO</t>
  </si>
  <si>
    <t>Proveedores</t>
  </si>
  <si>
    <t>Otros acreedores</t>
  </si>
  <si>
    <t>Hacienda Pública acreedora</t>
  </si>
  <si>
    <t>TOTAL PATRIMONIO NETO</t>
  </si>
  <si>
    <t>Amortizaciones</t>
  </si>
  <si>
    <t>Gastos financieros</t>
  </si>
  <si>
    <t>B.A.I. (Beneficio antes impuestos)</t>
  </si>
  <si>
    <t>B.D.I. (Beneficio neto)</t>
  </si>
  <si>
    <t>CUENTA DE PERDIDAS Y GANANCIAS</t>
  </si>
  <si>
    <t>EFE ACTIVIDADES INVERSIÓN</t>
  </si>
  <si>
    <t>EFE ACTIVID. FINANCIACIÓN</t>
  </si>
  <si>
    <t>Variación tesorería</t>
  </si>
  <si>
    <t>Pagos a proveedores</t>
  </si>
  <si>
    <t>Pagos por inversiones</t>
  </si>
  <si>
    <t>EFE ACTIVIDADES EXPLOTAC.</t>
  </si>
  <si>
    <t>TESORERIA AL INICIO</t>
  </si>
  <si>
    <t>TESORERIA AL FINAL</t>
  </si>
  <si>
    <t>MARGEN BRUTO  EXPLOTACIÓN</t>
  </si>
  <si>
    <t>Comprobación</t>
  </si>
  <si>
    <t>Clientes</t>
  </si>
  <si>
    <t>Cobros a clientes</t>
  </si>
  <si>
    <t>Pagos gastos financieros</t>
  </si>
  <si>
    <t>Cobros de préstamos</t>
  </si>
  <si>
    <t xml:space="preserve">TOTAL INGRESOS </t>
  </si>
  <si>
    <t>BALANCE INICIAL</t>
  </si>
  <si>
    <t>BALANCE FINAL</t>
  </si>
  <si>
    <t>EBITDA</t>
  </si>
  <si>
    <t>B.A.I.I. (Rº EXPLOTACIÓN)</t>
  </si>
  <si>
    <t>P &amp; G</t>
  </si>
  <si>
    <t>%</t>
  </si>
  <si>
    <t>ESTADO DE TESORERIA</t>
  </si>
  <si>
    <t>Operación 1</t>
  </si>
  <si>
    <t>Operación 2</t>
  </si>
  <si>
    <t>Operación 3</t>
  </si>
  <si>
    <t>Operación 4</t>
  </si>
  <si>
    <t>Operación 5</t>
  </si>
  <si>
    <t>Operación 6</t>
  </si>
  <si>
    <t>Financiación bancaria corto plazo</t>
  </si>
  <si>
    <t>Cobros por financiación bancaria a corto plazo</t>
  </si>
  <si>
    <t>Analisis de sensibilidad</t>
  </si>
  <si>
    <t>Variación en las ventas</t>
  </si>
  <si>
    <t>Base</t>
  </si>
  <si>
    <t>Variación</t>
  </si>
  <si>
    <t>Variacion tipo impositivo</t>
  </si>
  <si>
    <t>Volumen de compras (Consumos + Ef -Ei)</t>
  </si>
  <si>
    <t xml:space="preserve"> PASIVO</t>
  </si>
  <si>
    <t>Resultado (ingresos - gastos)</t>
  </si>
  <si>
    <t>TOTAL PASIVO</t>
  </si>
  <si>
    <t>Ingresos venta de productos</t>
  </si>
  <si>
    <t>Consumos de compras</t>
  </si>
  <si>
    <t>BALANCE DE SITUACIÓN (del negocio)</t>
  </si>
  <si>
    <t>Pagos por arrendamientos  y otros</t>
  </si>
  <si>
    <t>Préstamo a largo plazo</t>
  </si>
  <si>
    <t>TIPOS DE PRODUCTOS</t>
  </si>
  <si>
    <t>OTROS</t>
  </si>
  <si>
    <t>Margen (%)</t>
  </si>
  <si>
    <t>Ventas</t>
  </si>
  <si>
    <t>TOTAL</t>
  </si>
  <si>
    <t>Margen (€)</t>
  </si>
  <si>
    <t>(mix de venta)</t>
  </si>
  <si>
    <t>Pagos impuesto sobre la renta</t>
  </si>
  <si>
    <t>Cobros por aportaciones titular de la explotación</t>
  </si>
  <si>
    <t>Aportaciones titular de la explotación</t>
  </si>
  <si>
    <t>Gastos de arrendamientos y otros</t>
  </si>
  <si>
    <t>Variación en el mix de venta</t>
  </si>
  <si>
    <t xml:space="preserve">         Otros</t>
  </si>
  <si>
    <t>Variación gastos de arrendamientos  y otros</t>
  </si>
  <si>
    <t>Consumos de compras (Ei + Compras - Ef)</t>
  </si>
  <si>
    <t xml:space="preserve">PATRIMONIO NETO = ACTIVO -PASIVO </t>
  </si>
  <si>
    <t xml:space="preserve">    Impacto sobre el margen</t>
  </si>
  <si>
    <t>Valor final</t>
  </si>
  <si>
    <t>Variación en los dias de crédito a clientes (PMC)</t>
  </si>
  <si>
    <t>Variacion en los días de financiación  provee.( PMP)</t>
  </si>
  <si>
    <t>Variación en los dias de almacenamiento  (PMA)</t>
  </si>
  <si>
    <t>Variacion tipo de interes del préstamo</t>
  </si>
  <si>
    <t>A) ACTUACIONES SOBRE LOS INGRESOS</t>
  </si>
  <si>
    <t>B) ACTUACIONES SOBRE LOS GASTOS</t>
  </si>
  <si>
    <t>C) ACTUACIONES SOBRE LAS INVERSIONES Y LA FINANCIACIÓN OPERATIVA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</si>
  <si>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</si>
  <si>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</si>
  <si>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</si>
  <si>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</si>
  <si>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Canon</t>
  </si>
  <si>
    <t>BOLSOS</t>
  </si>
  <si>
    <t>ZAPATERIA</t>
  </si>
  <si>
    <t>JOYERIA</t>
  </si>
  <si>
    <t>Impuesto sobre sociedades</t>
  </si>
  <si>
    <t>Pagos impuesto sobre sociedades</t>
  </si>
  <si>
    <t xml:space="preserve">         Bolsos</t>
  </si>
  <si>
    <t xml:space="preserve">         Zapatería</t>
  </si>
  <si>
    <t xml:space="preserve">         Joyería</t>
  </si>
  <si>
    <t xml:space="preserve">Impuesto Sociedades </t>
  </si>
  <si>
    <t>NOTA: NO HE SABIDO CONFIGURAR LA HOJA. SÍ DONDE INCLUIR LOS DATOS, PERO HE TOMADO LAS FÓRMULAS DEL CASO RESUELTO.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</si>
</sst>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#,##0_ ;\-#,##0\ "/>
  </numFmts>
  <fonts count="21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660066"/>
      <name val="Arial"/>
      <family val="2"/>
    </font>
    <font>
      <sz val="10"/>
      <color theme="1"/>
      <name val="Arial"/>
      <family val="2"/>
    </font>
    <font>
      <sz val="14"/>
      <color theme="0"/>
      <name val="Arial"/>
      <family val="2"/>
    </font>
    <font>
      <b/>
      <sz val="8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33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2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/>
    <xf numFmtId="3" fontId="3" fillId="0" borderId="4" xfId="0" applyNumberFormat="1" applyFont="1" applyBorder="1" applyAlignment="1">
      <alignment vertical="center"/>
    </xf>
    <xf numFmtId="3" fontId="0" fillId="0" borderId="5" xfId="0" applyNumberFormat="1" applyBorder="1"/>
    <xf numFmtId="3" fontId="8" fillId="0" borderId="3" xfId="0" applyNumberFormat="1" applyFont="1" applyBorder="1"/>
    <xf numFmtId="0" fontId="0" fillId="2" borderId="0" xfId="0" applyFill="1"/>
    <xf numFmtId="3" fontId="3" fillId="3" borderId="4" xfId="0" applyNumberFormat="1" applyFont="1" applyFill="1" applyBorder="1"/>
    <xf numFmtId="3" fontId="3" fillId="0" borderId="0" xfId="0" applyNumberFormat="1" applyFont="1" applyAlignment="1">
      <alignment vertical="center"/>
    </xf>
    <xf numFmtId="10" fontId="8" fillId="0" borderId="2" xfId="1" applyNumberFormat="1" applyFont="1" applyBorder="1"/>
    <xf numFmtId="10" fontId="0" fillId="0" borderId="2" xfId="1" applyNumberFormat="1" applyFont="1" applyBorder="1"/>
    <xf numFmtId="0" fontId="8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10" fontId="8" fillId="0" borderId="3" xfId="1" applyNumberFormat="1" applyFont="1" applyBorder="1"/>
    <xf numFmtId="0" fontId="8" fillId="0" borderId="0" xfId="0" applyFont="1"/>
    <xf numFmtId="171" fontId="0" fillId="0" borderId="2" xfId="0" applyNumberFormat="1" applyBorder="1"/>
    <xf numFmtId="3" fontId="0" fillId="0" borderId="9" xfId="0" applyNumberFormat="1" applyBorder="1"/>
    <xf numFmtId="3" fontId="3" fillId="3" borderId="10" xfId="0" applyNumberFormat="1" applyFont="1" applyFill="1" applyBorder="1"/>
    <xf numFmtId="0" fontId="8" fillId="4" borderId="0" xfId="0" applyFont="1" applyFill="1"/>
    <xf numFmtId="3" fontId="0" fillId="4" borderId="0" xfId="0" applyNumberFormat="1" applyFill="1"/>
    <xf numFmtId="0" fontId="0" fillId="4" borderId="0" xfId="0" applyFill="1"/>
    <xf numFmtId="0" fontId="12" fillId="5" borderId="0" xfId="0" applyFont="1" applyFill="1"/>
    <xf numFmtId="3" fontId="3" fillId="0" borderId="0" xfId="0" applyNumberFormat="1" applyFont="1"/>
    <xf numFmtId="3" fontId="3" fillId="0" borderId="11" xfId="0" applyNumberFormat="1" applyFont="1" applyBorder="1"/>
    <xf numFmtId="0" fontId="3" fillId="0" borderId="11" xfId="0" applyFont="1" applyBorder="1"/>
    <xf numFmtId="0" fontId="8" fillId="0" borderId="6" xfId="0" applyFont="1" applyBorder="1"/>
    <xf numFmtId="0" fontId="8" fillId="0" borderId="1" xfId="0" applyFont="1" applyBorder="1"/>
    <xf numFmtId="3" fontId="3" fillId="6" borderId="4" xfId="0" applyNumberFormat="1" applyFont="1" applyFill="1" applyBorder="1" applyAlignment="1">
      <alignment vertical="center"/>
    </xf>
    <xf numFmtId="0" fontId="2" fillId="6" borderId="8" xfId="0" applyFont="1" applyFill="1" applyBorder="1" applyAlignment="1">
      <alignment vertical="center"/>
    </xf>
    <xf numFmtId="0" fontId="3" fillId="3" borderId="8" xfId="0" applyFont="1" applyFill="1" applyBorder="1"/>
    <xf numFmtId="3" fontId="0" fillId="0" borderId="12" xfId="0" applyNumberFormat="1" applyBorder="1"/>
    <xf numFmtId="3" fontId="0" fillId="0" borderId="13" xfId="0" applyNumberFormat="1" applyBorder="1"/>
    <xf numFmtId="0" fontId="2" fillId="7" borderId="11" xfId="0" applyFont="1" applyFill="1" applyBorder="1" applyAlignment="1">
      <alignment vertical="center"/>
    </xf>
    <xf numFmtId="3" fontId="3" fillId="7" borderId="11" xfId="0" applyNumberFormat="1" applyFont="1" applyFill="1" applyBorder="1" applyAlignment="1">
      <alignment vertical="center"/>
    </xf>
    <xf numFmtId="0" fontId="3" fillId="4" borderId="14" xfId="0" applyFont="1" applyFill="1" applyBorder="1" applyAlignment="1">
      <alignment horizontal="left"/>
    </xf>
    <xf numFmtId="3" fontId="0" fillId="4" borderId="15" xfId="0" applyNumberFormat="1" applyFill="1" applyBorder="1"/>
    <xf numFmtId="10" fontId="3" fillId="4" borderId="15" xfId="1" applyNumberFormat="1" applyFont="1" applyFill="1" applyBorder="1"/>
    <xf numFmtId="0" fontId="13" fillId="8" borderId="1" xfId="0" applyFont="1" applyFill="1" applyBorder="1" applyAlignment="1">
      <alignment horizontal="left"/>
    </xf>
    <xf numFmtId="3" fontId="14" fillId="8" borderId="2" xfId="0" applyNumberFormat="1" applyFont="1" applyFill="1" applyBorder="1"/>
    <xf numFmtId="10" fontId="3" fillId="8" borderId="2" xfId="1" applyNumberFormat="1" applyFont="1" applyFill="1" applyBorder="1"/>
    <xf numFmtId="0" fontId="3" fillId="8" borderId="1" xfId="0" applyFont="1" applyFill="1" applyBorder="1" applyAlignment="1">
      <alignment horizontal="left"/>
    </xf>
    <xf numFmtId="3" fontId="3" fillId="8" borderId="2" xfId="0" applyNumberFormat="1" applyFont="1" applyFill="1" applyBorder="1"/>
    <xf numFmtId="0" fontId="15" fillId="9" borderId="1" xfId="0" applyFont="1" applyFill="1" applyBorder="1" applyAlignment="1">
      <alignment horizontal="left" vertical="center"/>
    </xf>
    <xf numFmtId="3" fontId="16" fillId="9" borderId="2" xfId="0" applyNumberFormat="1" applyFont="1" applyFill="1" applyBorder="1" applyAlignment="1">
      <alignment vertical="center"/>
    </xf>
    <xf numFmtId="10" fontId="16" fillId="9" borderId="2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center" vertical="center" wrapText="1"/>
    </xf>
    <xf numFmtId="10" fontId="3" fillId="0" borderId="0" xfId="1" applyNumberFormat="1" applyFont="1"/>
    <xf numFmtId="10" fontId="0" fillId="0" borderId="0" xfId="1" applyNumberFormat="1" applyFont="1"/>
    <xf numFmtId="10" fontId="16" fillId="0" borderId="0" xfId="1" applyNumberFormat="1" applyFont="1" applyAlignment="1">
      <alignment vertical="center"/>
    </xf>
    <xf numFmtId="3" fontId="8" fillId="0" borderId="0" xfId="0" applyNumberFormat="1" applyFont="1"/>
    <xf numFmtId="3" fontId="13" fillId="0" borderId="0" xfId="0" applyNumberFormat="1" applyFont="1"/>
    <xf numFmtId="3" fontId="16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3" fontId="3" fillId="6" borderId="8" xfId="0" applyNumberFormat="1" applyFont="1" applyFill="1" applyBorder="1" applyAlignment="1">
      <alignment vertical="center"/>
    </xf>
    <xf numFmtId="3" fontId="0" fillId="0" borderId="16" xfId="0" applyNumberFormat="1" applyBorder="1"/>
    <xf numFmtId="0" fontId="0" fillId="10" borderId="1" xfId="0" applyFill="1" applyBorder="1"/>
    <xf numFmtId="3" fontId="18" fillId="10" borderId="0" xfId="0" applyNumberFormat="1" applyFont="1" applyFill="1"/>
    <xf numFmtId="3" fontId="5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3" fontId="3" fillId="4" borderId="5" xfId="1" applyNumberFormat="1" applyFont="1" applyFill="1" applyBorder="1"/>
    <xf numFmtId="10" fontId="8" fillId="4" borderId="5" xfId="1" applyNumberFormat="1" applyFont="1" applyFill="1" applyBorder="1"/>
    <xf numFmtId="3" fontId="8" fillId="4" borderId="5" xfId="0" applyNumberFormat="1" applyFont="1" applyFill="1" applyBorder="1"/>
    <xf numFmtId="3" fontId="8" fillId="4" borderId="5" xfId="1" applyNumberFormat="1" applyFont="1" applyFill="1" applyBorder="1"/>
    <xf numFmtId="9" fontId="3" fillId="11" borderId="18" xfId="1" applyFont="1" applyFill="1" applyBorder="1"/>
    <xf numFmtId="9" fontId="8" fillId="4" borderId="5" xfId="1" applyFont="1" applyFill="1" applyBorder="1"/>
    <xf numFmtId="10" fontId="16" fillId="12" borderId="5" xfId="1" applyNumberFormat="1" applyFont="1" applyFill="1" applyBorder="1" applyAlignment="1">
      <alignment horizontal="left"/>
    </xf>
    <xf numFmtId="3" fontId="12" fillId="12" borderId="5" xfId="0" applyNumberFormat="1" applyFont="1" applyFill="1" applyBorder="1"/>
    <xf numFmtId="3" fontId="16" fillId="12" borderId="5" xfId="1" applyNumberFormat="1" applyFont="1" applyFill="1" applyBorder="1"/>
    <xf numFmtId="10" fontId="16" fillId="12" borderId="18" xfId="1" applyNumberFormat="1" applyFont="1" applyFill="1" applyBorder="1" applyAlignment="1">
      <alignment horizontal="left"/>
    </xf>
    <xf numFmtId="10" fontId="12" fillId="12" borderId="18" xfId="1" applyNumberFormat="1" applyFont="1" applyFill="1" applyBorder="1"/>
    <xf numFmtId="10" fontId="16" fillId="12" borderId="18" xfId="1" applyNumberFormat="1" applyFont="1" applyFill="1" applyBorder="1"/>
    <xf numFmtId="0" fontId="3" fillId="4" borderId="5" xfId="0" applyFont="1" applyFill="1" applyBorder="1" applyAlignment="1">
      <alignment horizontal="left"/>
    </xf>
    <xf numFmtId="3" fontId="3" fillId="11" borderId="5" xfId="1" applyNumberFormat="1" applyFont="1" applyFill="1" applyBorder="1"/>
    <xf numFmtId="3" fontId="3" fillId="4" borderId="19" xfId="1" applyNumberFormat="1" applyFont="1" applyFill="1" applyBorder="1"/>
    <xf numFmtId="0" fontId="8" fillId="4" borderId="5" xfId="0" applyFont="1" applyFill="1" applyBorder="1"/>
    <xf numFmtId="9" fontId="0" fillId="4" borderId="5" xfId="0" applyNumberFormat="1" applyFill="1" applyBorder="1"/>
    <xf numFmtId="3" fontId="3" fillId="3" borderId="8" xfId="0" applyNumberFormat="1" applyFont="1" applyFill="1" applyBorder="1"/>
    <xf numFmtId="3" fontId="3" fillId="7" borderId="4" xfId="0" applyNumberFormat="1" applyFont="1" applyFill="1" applyBorder="1"/>
    <xf numFmtId="3" fontId="3" fillId="0" borderId="4" xfId="0" applyNumberFormat="1" applyFont="1" applyBorder="1"/>
    <xf numFmtId="3" fontId="5" fillId="0" borderId="0" xfId="0" applyNumberFormat="1" applyFont="1" applyAlignment="1">
      <alignment vertical="center" wrapText="1"/>
    </xf>
    <xf numFmtId="10" fontId="8" fillId="4" borderId="0" xfId="1" applyNumberFormat="1" applyFont="1" applyFill="1"/>
    <xf numFmtId="3" fontId="3" fillId="6" borderId="11" xfId="0" applyNumberFormat="1" applyFont="1" applyFill="1" applyBorder="1" applyAlignment="1">
      <alignment vertical="center"/>
    </xf>
    <xf numFmtId="3" fontId="3" fillId="7" borderId="4" xfId="0" applyNumberFormat="1" applyFont="1" applyFill="1" applyBorder="1" applyAlignment="1">
      <alignment vertical="center"/>
    </xf>
    <xf numFmtId="3" fontId="0" fillId="0" borderId="7" xfId="0" applyNumberFormat="1" applyBorder="1"/>
    <xf numFmtId="3" fontId="0" fillId="0" borderId="20" xfId="0" applyNumberFormat="1" applyBorder="1"/>
    <xf numFmtId="0" fontId="3" fillId="4" borderId="0" xfId="0" applyFont="1" applyFill="1"/>
    <xf numFmtId="10" fontId="3" fillId="4" borderId="0" xfId="1" applyNumberFormat="1" applyFont="1" applyFill="1"/>
    <xf numFmtId="2" fontId="3" fillId="4" borderId="0" xfId="1" applyNumberFormat="1" applyFont="1" applyFill="1"/>
    <xf numFmtId="10" fontId="8" fillId="4" borderId="5" xfId="1" applyNumberFormat="1" applyFont="1" applyFill="1" applyBorder="1"/>
    <xf numFmtId="2" fontId="8" fillId="2" borderId="0" xfId="1" applyNumberFormat="1" applyFont="1" applyFill="1"/>
    <xf numFmtId="0" fontId="3" fillId="13" borderId="8" xfId="0" applyFont="1" applyFill="1" applyBorder="1" applyAlignment="1">
      <alignment horizontal="left"/>
    </xf>
    <xf numFmtId="3" fontId="3" fillId="13" borderId="4" xfId="0" applyNumberFormat="1" applyFont="1" applyFill="1" applyBorder="1"/>
    <xf numFmtId="3" fontId="13" fillId="13" borderId="4" xfId="0" applyNumberFormat="1" applyFont="1" applyFill="1" applyBorder="1"/>
    <xf numFmtId="0" fontId="15" fillId="14" borderId="1" xfId="0" applyFont="1" applyFill="1" applyBorder="1" applyAlignment="1">
      <alignment horizontal="left" vertical="center"/>
    </xf>
    <xf numFmtId="3" fontId="16" fillId="14" borderId="4" xfId="0" applyNumberFormat="1" applyFont="1" applyFill="1" applyBorder="1" applyAlignment="1">
      <alignment vertical="center"/>
    </xf>
    <xf numFmtId="3" fontId="16" fillId="15" borderId="4" xfId="0" applyNumberFormat="1" applyFont="1" applyFill="1" applyBorder="1" applyAlignment="1">
      <alignment vertical="center"/>
    </xf>
    <xf numFmtId="0" fontId="16" fillId="16" borderId="8" xfId="0" applyFont="1" applyFill="1" applyBorder="1" applyAlignment="1">
      <alignment horizontal="left" vertical="center"/>
    </xf>
    <xf numFmtId="3" fontId="16" fillId="16" borderId="4" xfId="0" applyNumberFormat="1" applyFont="1" applyFill="1" applyBorder="1" applyAlignment="1">
      <alignment vertical="center"/>
    </xf>
    <xf numFmtId="0" fontId="15" fillId="15" borderId="8" xfId="0" applyFont="1" applyFill="1" applyBorder="1" applyAlignment="1">
      <alignment vertical="center"/>
    </xf>
    <xf numFmtId="3" fontId="16" fillId="15" borderId="10" xfId="0" applyNumberFormat="1" applyFont="1" applyFill="1" applyBorder="1" applyAlignment="1">
      <alignment vertical="center"/>
    </xf>
    <xf numFmtId="3" fontId="16" fillId="15" borderId="8" xfId="0" applyNumberFormat="1" applyFont="1" applyFill="1" applyBorder="1" applyAlignment="1">
      <alignment vertical="center"/>
    </xf>
    <xf numFmtId="3" fontId="0" fillId="0" borderId="21" xfId="0" applyNumberFormat="1" applyBorder="1"/>
    <xf numFmtId="0" fontId="13" fillId="13" borderId="4" xfId="0" applyFont="1" applyFill="1" applyBorder="1" applyAlignment="1">
      <alignment horizontal="left"/>
    </xf>
    <xf numFmtId="3" fontId="16" fillId="14" borderId="22" xfId="0" applyNumberFormat="1" applyFont="1" applyFill="1" applyBorder="1" applyAlignment="1">
      <alignment vertical="center"/>
    </xf>
    <xf numFmtId="0" fontId="13" fillId="13" borderId="8" xfId="0" applyFont="1" applyFill="1" applyBorder="1" applyAlignment="1">
      <alignment horizontal="left"/>
    </xf>
    <xf numFmtId="10" fontId="16" fillId="0" borderId="0" xfId="1" applyNumberFormat="1" applyFont="1" applyAlignment="1">
      <alignment horizontal="left"/>
    </xf>
    <xf numFmtId="10" fontId="12" fillId="0" borderId="0" xfId="1" applyNumberFormat="1" applyFont="1"/>
    <xf numFmtId="10" fontId="16" fillId="0" borderId="0" xfId="1" applyNumberFormat="1" applyFont="1"/>
    <xf numFmtId="9" fontId="3" fillId="0" borderId="0" xfId="1" applyFont="1"/>
    <xf numFmtId="0" fontId="12" fillId="4" borderId="0" xfId="0" applyFont="1" applyFill="1"/>
    <xf numFmtId="0" fontId="12" fillId="4" borderId="0" xfId="0" applyFont="1" applyFill="1" applyAlignment="1">
      <alignment horizontal="center"/>
    </xf>
    <xf numFmtId="0" fontId="13" fillId="4" borderId="0" xfId="0" applyFont="1" applyFill="1"/>
    <xf numFmtId="0" fontId="12" fillId="15" borderId="0" xfId="0" applyFont="1" applyFill="1"/>
    <xf numFmtId="0" fontId="12" fillId="15" borderId="0" xfId="0" applyFont="1" applyFill="1" applyAlignment="1">
      <alignment horizontal="center"/>
    </xf>
    <xf numFmtId="0" fontId="16" fillId="15" borderId="0" xfId="0" applyFont="1" applyFill="1"/>
    <xf numFmtId="10" fontId="12" fillId="15" borderId="0" xfId="1" applyNumberFormat="1" applyFont="1" applyFill="1"/>
    <xf numFmtId="2" fontId="12" fillId="15" borderId="0" xfId="1" applyNumberFormat="1" applyFont="1" applyFill="1"/>
    <xf numFmtId="0" fontId="16" fillId="4" borderId="0" xfId="0" applyFont="1" applyFill="1"/>
    <xf numFmtId="10" fontId="12" fillId="4" borderId="0" xfId="1" applyNumberFormat="1" applyFont="1" applyFill="1"/>
    <xf numFmtId="2" fontId="12" fillId="4" borderId="0" xfId="1" applyNumberFormat="1" applyFont="1" applyFill="1"/>
    <xf numFmtId="0" fontId="16" fillId="5" borderId="0" xfId="0" applyFont="1" applyFill="1"/>
    <xf numFmtId="0" fontId="16" fillId="5" borderId="0" xfId="0" applyFont="1" applyFill="1" applyAlignment="1">
      <alignment horizontal="center"/>
    </xf>
    <xf numFmtId="3" fontId="8" fillId="4" borderId="0" xfId="0" applyNumberFormat="1" applyFont="1" applyFill="1" applyAlignment="1">
      <alignment horizontal="left"/>
    </xf>
    <xf numFmtId="9" fontId="1" fillId="11" borderId="5" xfId="1" applyFill="1" applyBorder="1"/>
    <xf numFmtId="2" fontId="8" fillId="4" borderId="0" xfId="1" applyNumberFormat="1" applyFont="1" applyFill="1"/>
    <xf numFmtId="10" fontId="1" fillId="4" borderId="5" xfId="1" applyNumberFormat="1" applyFill="1" applyBorder="1"/>
    <xf numFmtId="3" fontId="3" fillId="13" borderId="3" xfId="0" applyNumberFormat="1" applyFont="1" applyFill="1" applyBorder="1" applyAlignment="1">
      <alignment horizontal="center" vertical="center" wrapText="1"/>
    </xf>
    <xf numFmtId="3" fontId="3" fillId="13" borderId="22" xfId="0" applyNumberFormat="1" applyFont="1" applyFill="1" applyBorder="1" applyAlignment="1">
      <alignment horizontal="center" vertical="center" wrapText="1"/>
    </xf>
    <xf numFmtId="3" fontId="5" fillId="13" borderId="3" xfId="0" applyNumberFormat="1" applyFont="1" applyFill="1" applyBorder="1" applyAlignment="1">
      <alignment horizontal="center" vertical="center" wrapText="1"/>
    </xf>
    <xf numFmtId="3" fontId="5" fillId="13" borderId="22" xfId="0" applyNumberFormat="1" applyFont="1" applyFill="1" applyBorder="1" applyAlignment="1">
      <alignment horizontal="center" vertical="center" wrapText="1"/>
    </xf>
    <xf numFmtId="0" fontId="10" fillId="17" borderId="9" xfId="0" applyFont="1" applyFill="1" applyBorder="1" applyAlignment="1">
      <alignment horizontal="center" vertical="center" wrapText="1"/>
    </xf>
    <xf numFmtId="0" fontId="10" fillId="17" borderId="16" xfId="0" applyFont="1" applyFill="1" applyBorder="1" applyAlignment="1">
      <alignment horizontal="center" vertical="center" wrapText="1"/>
    </xf>
    <xf numFmtId="0" fontId="10" fillId="17" borderId="6" xfId="0" applyFont="1" applyFill="1" applyBorder="1" applyAlignment="1">
      <alignment horizontal="center" vertical="center" wrapText="1"/>
    </xf>
    <xf numFmtId="0" fontId="10" fillId="17" borderId="25" xfId="0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 vertical="center" wrapText="1"/>
    </xf>
    <xf numFmtId="0" fontId="16" fillId="9" borderId="22" xfId="0" applyFont="1" applyFill="1" applyBorder="1" applyAlignment="1">
      <alignment horizontal="center" vertical="center" wrapText="1"/>
    </xf>
    <xf numFmtId="3" fontId="15" fillId="9" borderId="3" xfId="0" applyNumberFormat="1" applyFont="1" applyFill="1" applyBorder="1" applyAlignment="1">
      <alignment horizontal="center" vertical="center" wrapText="1"/>
    </xf>
    <xf numFmtId="3" fontId="15" fillId="9" borderId="22" xfId="0" applyNumberFormat="1" applyFont="1" applyFill="1" applyBorder="1" applyAlignment="1">
      <alignment horizontal="center" vertical="center" wrapText="1"/>
    </xf>
    <xf numFmtId="3" fontId="20" fillId="9" borderId="3" xfId="0" applyNumberFormat="1" applyFont="1" applyFill="1" applyBorder="1" applyAlignment="1">
      <alignment horizontal="center" vertical="center" wrapText="1"/>
    </xf>
    <xf numFmtId="3" fontId="20" fillId="9" borderId="22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19" fillId="19" borderId="8" xfId="0" applyFont="1" applyFill="1" applyBorder="1" applyAlignment="1">
      <alignment horizontal="center"/>
    </xf>
    <xf numFmtId="0" fontId="19" fillId="19" borderId="11" xfId="0" applyFont="1" applyFill="1" applyBorder="1" applyAlignment="1">
      <alignment horizontal="center"/>
    </xf>
    <xf numFmtId="0" fontId="19" fillId="19" borderId="10" xfId="0" applyFont="1" applyFill="1" applyBorder="1" applyAlignment="1">
      <alignment horizontal="center"/>
    </xf>
    <xf numFmtId="0" fontId="11" fillId="17" borderId="3" xfId="0" applyFont="1" applyFill="1" applyBorder="1" applyAlignment="1">
      <alignment horizontal="center" vertical="center" wrapText="1"/>
    </xf>
    <xf numFmtId="0" fontId="11" fillId="17" borderId="22" xfId="0" applyFont="1" applyFill="1" applyBorder="1" applyAlignment="1">
      <alignment horizontal="center" vertical="center" wrapText="1"/>
    </xf>
    <xf numFmtId="3" fontId="11" fillId="18" borderId="3" xfId="0" applyNumberFormat="1" applyFont="1" applyFill="1" applyBorder="1" applyAlignment="1">
      <alignment horizontal="center" vertical="center" wrapText="1"/>
    </xf>
    <xf numFmtId="3" fontId="11" fillId="18" borderId="22" xfId="0" applyNumberFormat="1" applyFont="1" applyFill="1" applyBorder="1" applyAlignment="1">
      <alignment horizontal="center" vertical="center" wrapText="1"/>
    </xf>
    <xf numFmtId="0" fontId="10" fillId="18" borderId="6" xfId="0" applyFont="1" applyFill="1" applyBorder="1" applyAlignment="1">
      <alignment horizontal="center" vertical="center" wrapText="1"/>
    </xf>
    <xf numFmtId="0" fontId="10" fillId="18" borderId="25" xfId="0" applyFont="1" applyFill="1" applyBorder="1" applyAlignment="1">
      <alignment horizontal="center" vertical="center" wrapText="1"/>
    </xf>
    <xf numFmtId="0" fontId="10" fillId="18" borderId="23" xfId="0" applyFont="1" applyFill="1" applyBorder="1" applyAlignment="1">
      <alignment horizontal="center" vertical="center" wrapText="1"/>
    </xf>
    <xf numFmtId="0" fontId="10" fillId="18" borderId="24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10" fillId="18" borderId="9" xfId="0" applyFont="1" applyFill="1" applyBorder="1" applyAlignment="1">
      <alignment horizontal="center" vertical="center" wrapText="1"/>
    </xf>
    <xf numFmtId="0" fontId="10" fillId="18" borderId="16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8" fillId="4" borderId="23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10" fillId="17" borderId="3" xfId="0" applyFont="1" applyFill="1" applyBorder="1" applyAlignment="1">
      <alignment horizontal="center" vertical="center" wrapText="1"/>
    </xf>
    <xf numFmtId="0" fontId="10" fillId="17" borderId="22" xfId="0" applyFont="1" applyFill="1" applyBorder="1" applyAlignment="1">
      <alignment horizontal="center" vertical="center" wrapText="1"/>
    </xf>
    <xf numFmtId="0" fontId="11" fillId="17" borderId="31" xfId="0" applyFont="1" applyFill="1" applyBorder="1" applyAlignment="1">
      <alignment horizontal="center" vertical="center" wrapText="1"/>
    </xf>
    <xf numFmtId="0" fontId="11" fillId="17" borderId="32" xfId="0" applyFont="1" applyFill="1" applyBorder="1" applyAlignment="1">
      <alignment horizontal="center" vertical="center" wrapText="1"/>
    </xf>
    <xf numFmtId="0" fontId="10" fillId="17" borderId="29" xfId="0" applyFont="1" applyFill="1" applyBorder="1" applyAlignment="1">
      <alignment horizontal="center" vertical="center" wrapText="1"/>
    </xf>
    <xf numFmtId="0" fontId="10" fillId="17" borderId="30" xfId="0" applyFont="1" applyFill="1" applyBorder="1" applyAlignment="1">
      <alignment horizontal="center" vertical="center" wrapText="1"/>
    </xf>
    <xf numFmtId="0" fontId="10" fillId="18" borderId="3" xfId="0" applyFont="1" applyFill="1" applyBorder="1" applyAlignment="1">
      <alignment horizontal="center" vertical="center" wrapText="1"/>
    </xf>
    <xf numFmtId="0" fontId="10" fillId="18" borderId="22" xfId="0" applyFont="1" applyFill="1" applyBorder="1" applyAlignment="1">
      <alignment horizontal="center" vertical="center" wrapText="1"/>
    </xf>
    <xf numFmtId="0" fontId="10" fillId="18" borderId="31" xfId="0" applyFont="1" applyFill="1" applyBorder="1" applyAlignment="1">
      <alignment horizontal="center" vertical="center" wrapText="1"/>
    </xf>
    <xf numFmtId="0" fontId="10" fillId="18" borderId="3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10" fillId="18" borderId="29" xfId="0" applyFont="1" applyFill="1" applyBorder="1" applyAlignment="1">
      <alignment horizontal="center" vertical="center" wrapText="1"/>
    </xf>
    <xf numFmtId="0" fontId="10" fillId="18" borderId="30" xfId="0" applyFont="1" applyFill="1" applyBorder="1" applyAlignment="1">
      <alignment horizontal="center" vertical="center" wrapText="1"/>
    </xf>
    <xf numFmtId="3" fontId="5" fillId="0" borderId="26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28" xfId="0" applyNumberFormat="1" applyFont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22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lenciaga/AppData/Local/Microsoft/Windows/INetCache/Content.Outlook/GN5AFDMB/Caso%20LLorenteCuenca%20(supuesto%20descarga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mentos de mujer"/>
      <sheetName val="Complementos de mujer 2"/>
      <sheetName val="Hoja3"/>
      <sheetName val="Hoja 4"/>
    </sheetNames>
    <sheetDataSet>
      <sheetData sheetId="0" refreshError="1">
        <row r="5">
          <cell r="A5" t="str">
            <v>Canon</v>
          </cell>
          <cell r="B5">
            <v>200000</v>
          </cell>
        </row>
        <row r="13">
          <cell r="B13">
            <v>100000</v>
          </cell>
        </row>
        <row r="22">
          <cell r="B22">
            <v>150000</v>
          </cell>
        </row>
        <row r="29">
          <cell r="C29" t="str">
            <v>BOLSOS</v>
          </cell>
          <cell r="D29" t="str">
            <v>ZAPATERIA</v>
          </cell>
          <cell r="E29" t="str">
            <v>JOYERIA</v>
          </cell>
        </row>
        <row r="30">
          <cell r="B30">
            <v>1400000</v>
          </cell>
        </row>
        <row r="31">
          <cell r="C31">
            <v>0.35</v>
          </cell>
          <cell r="D31">
            <v>0.45</v>
          </cell>
          <cell r="E31">
            <v>0.05</v>
          </cell>
          <cell r="F31">
            <v>0.15000000000000002</v>
          </cell>
        </row>
        <row r="34">
          <cell r="B34">
            <v>0.40100000000000002</v>
          </cell>
          <cell r="C34">
            <v>0.42</v>
          </cell>
          <cell r="D34">
            <v>0.39</v>
          </cell>
          <cell r="E34">
            <v>0.67</v>
          </cell>
          <cell r="F34">
            <v>0.3</v>
          </cell>
        </row>
        <row r="42">
          <cell r="B42">
            <v>-350000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2"/>
  <sheetViews>
    <sheetView showZeros="0" zoomScaleNormal="100" zoomScaleSheetLayoutView="100" workbookViewId="0"/>
  </sheetViews>
  <sheetFormatPr baseColWidth="10" defaultRowHeight="12.75" x14ac:dyDescent="0.35"/>
  <cols>
    <col min="1" max="1" width="41.265625" customWidth="1"/>
    <col min="2" max="2" width="10.73046875" customWidth="1"/>
    <col min="3" max="3" width="10.3984375" customWidth="1"/>
    <col min="4" max="8" width="12.86328125" customWidth="1"/>
    <col min="9" max="9" width="10.73046875" customWidth="1"/>
    <col min="11" max="11" width="39.73046875" customWidth="1"/>
    <col min="16" max="16" width="10.1328125" customWidth="1"/>
  </cols>
  <sheetData>
    <row r="1" spans="1:9" ht="13.15" thickBot="1" x14ac:dyDescent="0.4">
      <c r="A1" s="8" t="s">
        <v>97</v>
      </c>
    </row>
    <row r="2" spans="1:9" ht="18" thickTop="1" thickBot="1" x14ac:dyDescent="0.5">
      <c r="A2" s="153" t="s">
        <v>55</v>
      </c>
      <c r="B2" s="154"/>
      <c r="C2" s="154"/>
      <c r="D2" s="154"/>
      <c r="E2" s="154"/>
      <c r="F2" s="154"/>
      <c r="G2" s="154"/>
      <c r="H2" s="154"/>
      <c r="I2" s="155"/>
    </row>
    <row r="3" spans="1:9" ht="13.5" customHeight="1" thickTop="1" x14ac:dyDescent="0.35">
      <c r="A3" s="139" t="s">
        <v>0</v>
      </c>
      <c r="B3" s="141" t="s">
        <v>29</v>
      </c>
      <c r="C3" s="137">
        <v>1</v>
      </c>
      <c r="D3" s="137">
        <f>+C3+1</f>
        <v>2</v>
      </c>
      <c r="E3" s="137">
        <f>+D3+1</f>
        <v>3</v>
      </c>
      <c r="F3" s="137">
        <f>+E3+1</f>
        <v>4</v>
      </c>
      <c r="G3" s="137">
        <f>+F3+1</f>
        <v>5</v>
      </c>
      <c r="H3" s="137">
        <f>+G3+1</f>
        <v>6</v>
      </c>
      <c r="I3" s="156" t="s">
        <v>30</v>
      </c>
    </row>
    <row r="4" spans="1:9" ht="13.5" customHeight="1" thickBot="1" x14ac:dyDescent="0.4">
      <c r="A4" s="140"/>
      <c r="B4" s="142"/>
      <c r="C4" s="138"/>
      <c r="D4" s="138"/>
      <c r="E4" s="138"/>
      <c r="F4" s="138"/>
      <c r="G4" s="138"/>
      <c r="H4" s="138"/>
      <c r="I4" s="157"/>
    </row>
    <row r="5" spans="1:9" ht="13.15" thickTop="1" x14ac:dyDescent="0.35">
      <c r="A5" s="1" t="s">
        <v>87</v>
      </c>
      <c r="B5" s="3">
        <v>200000</v>
      </c>
      <c r="C5" s="36"/>
      <c r="D5" s="21"/>
      <c r="E5" s="21"/>
      <c r="F5" s="6">
        <f>IF($D$44=1,B44,0)</f>
        <v>-20000</v>
      </c>
      <c r="G5" s="21"/>
      <c r="H5" s="21"/>
      <c r="I5" s="3">
        <f>SUM(B5:H5)</f>
        <v>180000</v>
      </c>
    </row>
    <row r="6" spans="1:9" x14ac:dyDescent="0.35">
      <c r="A6" s="1" t="s">
        <v>2</v>
      </c>
      <c r="B6" s="2">
        <v>0</v>
      </c>
      <c r="C6" s="36"/>
      <c r="D6" s="6"/>
      <c r="E6" s="6"/>
      <c r="F6" s="6"/>
      <c r="G6" s="6"/>
      <c r="H6" s="6"/>
      <c r="I6" s="2">
        <f>SUM(B6:H6)</f>
        <v>0</v>
      </c>
    </row>
    <row r="7" spans="1:9" x14ac:dyDescent="0.35">
      <c r="A7" s="1" t="s">
        <v>24</v>
      </c>
      <c r="B7" s="2">
        <v>0</v>
      </c>
      <c r="C7" s="36"/>
      <c r="D7" s="6"/>
      <c r="E7" s="6"/>
      <c r="F7" s="6"/>
      <c r="G7" s="6"/>
      <c r="H7" s="6"/>
      <c r="I7" s="2">
        <f>SUM(B7:H7)</f>
        <v>0</v>
      </c>
    </row>
    <row r="8" spans="1:9" ht="13.15" thickBot="1" x14ac:dyDescent="0.4">
      <c r="A8" s="1" t="s">
        <v>3</v>
      </c>
      <c r="B8" s="2">
        <f>+B66</f>
        <v>50000</v>
      </c>
      <c r="C8" s="36">
        <f>IF($D$38=1,C53,0)</f>
        <v>1400000</v>
      </c>
      <c r="D8" s="6">
        <f>IF($D$40=1,C54,0)</f>
        <v>-838600</v>
      </c>
      <c r="E8" s="6">
        <f>IF($D$42=1,C55,0)</f>
        <v>-350000</v>
      </c>
      <c r="G8" s="6">
        <f>IF($D$46=1,C56,0)</f>
        <v>-5000</v>
      </c>
      <c r="H8" s="6">
        <f>IF($D$48=1,C57,0)</f>
        <v>-46600</v>
      </c>
      <c r="I8" s="2">
        <f>SUM(B8:H8)</f>
        <v>209800</v>
      </c>
    </row>
    <row r="9" spans="1:9" ht="15.75" thickTop="1" thickBot="1" x14ac:dyDescent="0.4">
      <c r="A9" s="33" t="s">
        <v>4</v>
      </c>
      <c r="B9" s="32">
        <f t="shared" ref="B9:I9" si="0">SUM(B5:B8)</f>
        <v>250000</v>
      </c>
      <c r="C9" s="60">
        <f t="shared" si="0"/>
        <v>1400000</v>
      </c>
      <c r="D9" s="60">
        <f t="shared" si="0"/>
        <v>-838600</v>
      </c>
      <c r="E9" s="60">
        <f t="shared" si="0"/>
        <v>-350000</v>
      </c>
      <c r="F9" s="60">
        <f t="shared" si="0"/>
        <v>-20000</v>
      </c>
      <c r="G9" s="60">
        <f t="shared" si="0"/>
        <v>-5000</v>
      </c>
      <c r="H9" s="60">
        <f t="shared" si="0"/>
        <v>-46600</v>
      </c>
      <c r="I9" s="32">
        <f t="shared" si="0"/>
        <v>389800</v>
      </c>
    </row>
    <row r="10" spans="1:9" ht="5.0999999999999996" customHeight="1" thickTop="1" thickBot="1" x14ac:dyDescent="0.45">
      <c r="A10" s="37"/>
      <c r="B10" s="38"/>
      <c r="C10" s="38"/>
      <c r="D10" s="38"/>
      <c r="E10" s="38"/>
      <c r="F10" s="38"/>
      <c r="G10" s="38"/>
      <c r="H10" s="38"/>
      <c r="I10" s="84"/>
    </row>
    <row r="11" spans="1:9" ht="13.5" customHeight="1" thickTop="1" x14ac:dyDescent="0.35">
      <c r="A11" s="160" t="s">
        <v>50</v>
      </c>
      <c r="B11" s="158" t="str">
        <f t="shared" ref="B11:I11" si="1">+B3</f>
        <v>BALANCE INICIAL</v>
      </c>
      <c r="C11" s="162">
        <f t="shared" si="1"/>
        <v>1</v>
      </c>
      <c r="D11" s="166">
        <f t="shared" si="1"/>
        <v>2</v>
      </c>
      <c r="E11" s="166">
        <f t="shared" si="1"/>
        <v>3</v>
      </c>
      <c r="F11" s="166">
        <f t="shared" si="1"/>
        <v>4</v>
      </c>
      <c r="G11" s="166">
        <f t="shared" si="1"/>
        <v>5</v>
      </c>
      <c r="H11" s="166">
        <f t="shared" si="1"/>
        <v>6</v>
      </c>
      <c r="I11" s="158" t="str">
        <f t="shared" si="1"/>
        <v>BALANCE FINAL</v>
      </c>
    </row>
    <row r="12" spans="1:9" ht="13.15" thickBot="1" x14ac:dyDescent="0.4">
      <c r="A12" s="161"/>
      <c r="B12" s="159"/>
      <c r="C12" s="163"/>
      <c r="D12" s="167"/>
      <c r="E12" s="167"/>
      <c r="F12" s="167"/>
      <c r="G12" s="167"/>
      <c r="H12" s="167"/>
      <c r="I12" s="159"/>
    </row>
    <row r="13" spans="1:9" ht="13.15" thickTop="1" x14ac:dyDescent="0.35">
      <c r="A13" s="30" t="s">
        <v>57</v>
      </c>
      <c r="B13" s="3">
        <f>IF(B$25=0,0,100000)</f>
        <v>100000</v>
      </c>
      <c r="C13" s="35"/>
      <c r="D13" s="21"/>
      <c r="E13" s="21"/>
      <c r="F13" s="21"/>
      <c r="G13" s="21"/>
      <c r="H13" s="21"/>
      <c r="I13" s="2">
        <f>SUM(B13:H13)</f>
        <v>100000</v>
      </c>
    </row>
    <row r="14" spans="1:9" x14ac:dyDescent="0.35">
      <c r="A14" s="1" t="s">
        <v>5</v>
      </c>
      <c r="B14" s="2"/>
      <c r="C14" s="36"/>
      <c r="D14" s="6"/>
      <c r="E14" s="6"/>
      <c r="F14" s="6"/>
      <c r="G14" s="6"/>
      <c r="H14" s="6"/>
      <c r="I14" s="2">
        <f>SUM(B14:H14)</f>
        <v>0</v>
      </c>
    </row>
    <row r="15" spans="1:9" x14ac:dyDescent="0.35">
      <c r="A15" s="1" t="s">
        <v>6</v>
      </c>
      <c r="B15" s="2"/>
      <c r="C15" s="36"/>
      <c r="D15" s="6"/>
      <c r="E15" s="6"/>
      <c r="F15" s="6"/>
      <c r="G15" s="6"/>
      <c r="H15" s="6"/>
      <c r="I15" s="2">
        <f>SUM(B15:H15)</f>
        <v>0</v>
      </c>
    </row>
    <row r="16" spans="1:9" x14ac:dyDescent="0.35">
      <c r="A16" s="1" t="s">
        <v>7</v>
      </c>
      <c r="B16" s="2"/>
      <c r="C16" s="36"/>
      <c r="D16" s="6"/>
      <c r="E16" s="6"/>
      <c r="F16" s="6"/>
      <c r="G16" s="6"/>
      <c r="H16" s="6"/>
      <c r="I16" s="2">
        <f>SUM(B16:H16)</f>
        <v>0</v>
      </c>
    </row>
    <row r="17" spans="1:9" ht="13.15" thickBot="1" x14ac:dyDescent="0.4">
      <c r="A17" s="1" t="s">
        <v>42</v>
      </c>
      <c r="B17" s="2"/>
      <c r="C17" s="36"/>
      <c r="D17" s="61"/>
      <c r="E17" s="61"/>
      <c r="F17" s="61"/>
      <c r="G17" s="61"/>
      <c r="H17" s="61"/>
      <c r="I17" s="2">
        <f>SUM(B17:H17)</f>
        <v>0</v>
      </c>
    </row>
    <row r="18" spans="1:9" ht="13.9" thickTop="1" thickBot="1" x14ac:dyDescent="0.45">
      <c r="A18" s="34" t="s">
        <v>52</v>
      </c>
      <c r="B18" s="9">
        <f t="shared" ref="B18:I18" si="2">SUM(B13:B17)</f>
        <v>100000</v>
      </c>
      <c r="C18" s="9">
        <f t="shared" si="2"/>
        <v>0</v>
      </c>
      <c r="D18" s="9">
        <f t="shared" si="2"/>
        <v>0</v>
      </c>
      <c r="E18" s="9">
        <f t="shared" si="2"/>
        <v>0</v>
      </c>
      <c r="F18" s="9">
        <f t="shared" si="2"/>
        <v>0</v>
      </c>
      <c r="G18" s="9">
        <f t="shared" si="2"/>
        <v>0</v>
      </c>
      <c r="H18" s="9">
        <f t="shared" si="2"/>
        <v>0</v>
      </c>
      <c r="I18" s="9">
        <f t="shared" si="2"/>
        <v>100000</v>
      </c>
    </row>
    <row r="19" spans="1:9" ht="5.0999999999999996" customHeight="1" thickTop="1" thickBot="1" x14ac:dyDescent="0.45">
      <c r="A19" s="29"/>
      <c r="B19" s="28"/>
      <c r="C19" s="28"/>
      <c r="D19" s="28"/>
      <c r="E19" s="28"/>
      <c r="F19" s="28"/>
      <c r="G19" s="28"/>
      <c r="H19" s="28"/>
      <c r="I19" s="85"/>
    </row>
    <row r="20" spans="1:9" ht="13.15" thickTop="1" x14ac:dyDescent="0.35">
      <c r="A20" s="151" t="s">
        <v>73</v>
      </c>
      <c r="B20" s="168" t="s">
        <v>29</v>
      </c>
      <c r="C20" s="175">
        <f t="shared" ref="C20:H20" si="3">+C11</f>
        <v>1</v>
      </c>
      <c r="D20" s="164">
        <f t="shared" si="3"/>
        <v>2</v>
      </c>
      <c r="E20" s="164">
        <f t="shared" si="3"/>
        <v>3</v>
      </c>
      <c r="F20" s="164">
        <f t="shared" si="3"/>
        <v>4</v>
      </c>
      <c r="G20" s="164">
        <f t="shared" si="3"/>
        <v>5</v>
      </c>
      <c r="H20" s="164">
        <f t="shared" si="3"/>
        <v>6</v>
      </c>
      <c r="I20" s="168" t="s">
        <v>30</v>
      </c>
    </row>
    <row r="21" spans="1:9" ht="13.15" thickBot="1" x14ac:dyDescent="0.4">
      <c r="A21" s="152"/>
      <c r="B21" s="169"/>
      <c r="C21" s="176"/>
      <c r="D21" s="165"/>
      <c r="E21" s="165"/>
      <c r="F21" s="165"/>
      <c r="G21" s="165"/>
      <c r="H21" s="165"/>
      <c r="I21" s="169"/>
    </row>
    <row r="22" spans="1:9" ht="13.15" thickTop="1" x14ac:dyDescent="0.35">
      <c r="A22" s="30" t="s">
        <v>67</v>
      </c>
      <c r="B22" s="3">
        <f>IF(B$25=0,0,150000)</f>
        <v>150000</v>
      </c>
      <c r="C22" s="35"/>
      <c r="D22" s="21"/>
      <c r="E22" s="21"/>
      <c r="F22" s="21"/>
      <c r="G22" s="21"/>
      <c r="H22" s="21"/>
      <c r="I22" s="3">
        <f>SUM(B22:H22)</f>
        <v>150000</v>
      </c>
    </row>
    <row r="23" spans="1:9" ht="13.15" thickBot="1" x14ac:dyDescent="0.4">
      <c r="A23" s="31" t="s">
        <v>51</v>
      </c>
      <c r="B23" s="2"/>
      <c r="C23" s="36">
        <f>IF($D$38=1,B38,0)</f>
        <v>1400000</v>
      </c>
      <c r="D23" s="61">
        <f>IF($D$40=1,B40,0)</f>
        <v>-838600</v>
      </c>
      <c r="E23" s="6">
        <f>IF($D$42=1,B42,0)</f>
        <v>-350000</v>
      </c>
      <c r="F23" s="6">
        <f>IF($D$44=1,B44,0)</f>
        <v>-20000</v>
      </c>
      <c r="G23" s="6">
        <f>IF($D$46=1,B46,0)</f>
        <v>-5000</v>
      </c>
      <c r="H23" s="6">
        <f>IF($D$48=1,B48,0)</f>
        <v>-46600</v>
      </c>
      <c r="I23" s="2">
        <f>SUM(B23:H23)</f>
        <v>139800</v>
      </c>
    </row>
    <row r="24" spans="1:9" ht="15.75" thickTop="1" thickBot="1" x14ac:dyDescent="0.4">
      <c r="A24" s="105" t="s">
        <v>8</v>
      </c>
      <c r="B24" s="102">
        <f t="shared" ref="B24:I24" si="4">SUM(B22:B23)</f>
        <v>150000</v>
      </c>
      <c r="C24" s="102">
        <f t="shared" si="4"/>
        <v>1400000</v>
      </c>
      <c r="D24" s="102">
        <f t="shared" si="4"/>
        <v>-838600</v>
      </c>
      <c r="E24" s="102">
        <f t="shared" si="4"/>
        <v>-350000</v>
      </c>
      <c r="F24" s="102">
        <f t="shared" si="4"/>
        <v>-20000</v>
      </c>
      <c r="G24" s="102">
        <f t="shared" si="4"/>
        <v>-5000</v>
      </c>
      <c r="H24" s="102">
        <f t="shared" si="4"/>
        <v>-46600</v>
      </c>
      <c r="I24" s="102">
        <f t="shared" si="4"/>
        <v>289800</v>
      </c>
    </row>
    <row r="25" spans="1:9" ht="15.4" thickTop="1" x14ac:dyDescent="0.35">
      <c r="A25" s="51"/>
      <c r="B25" s="8">
        <v>1</v>
      </c>
      <c r="C25" s="10">
        <v>1</v>
      </c>
      <c r="D25" s="10">
        <v>1</v>
      </c>
      <c r="E25" s="10">
        <v>1</v>
      </c>
      <c r="F25" s="10">
        <v>1</v>
      </c>
      <c r="G25" s="10">
        <v>1</v>
      </c>
      <c r="H25" s="10">
        <v>1</v>
      </c>
      <c r="I25" s="10"/>
    </row>
    <row r="26" spans="1:9" x14ac:dyDescent="0.35">
      <c r="A26" s="62" t="s">
        <v>23</v>
      </c>
      <c r="B26" s="63"/>
      <c r="C26" s="63"/>
      <c r="D26" s="63"/>
      <c r="E26" s="63"/>
      <c r="F26" s="63"/>
      <c r="G26" s="63"/>
      <c r="H26" s="63"/>
      <c r="I26" s="63"/>
    </row>
    <row r="27" spans="1:9" ht="23.25" customHeight="1" x14ac:dyDescent="0.35">
      <c r="B27" s="4"/>
      <c r="C27" s="4"/>
      <c r="D27" s="4"/>
      <c r="E27" s="4"/>
      <c r="F27" s="4"/>
      <c r="G27" s="65"/>
      <c r="H27" s="86"/>
      <c r="I27" s="86"/>
    </row>
    <row r="28" spans="1:9" ht="15" customHeight="1" x14ac:dyDescent="0.35">
      <c r="A28" s="173"/>
      <c r="B28" s="170" t="s">
        <v>62</v>
      </c>
      <c r="C28" s="172" t="s">
        <v>58</v>
      </c>
      <c r="D28" s="172"/>
      <c r="E28" s="172"/>
      <c r="F28" s="172"/>
      <c r="G28" s="65"/>
      <c r="H28" s="86"/>
      <c r="I28" s="86"/>
    </row>
    <row r="29" spans="1:9" ht="15" customHeight="1" x14ac:dyDescent="0.35">
      <c r="A29" s="174"/>
      <c r="B29" s="171"/>
      <c r="C29" s="64" t="s">
        <v>88</v>
      </c>
      <c r="D29" s="64" t="s">
        <v>89</v>
      </c>
      <c r="E29" s="64" t="s">
        <v>90</v>
      </c>
      <c r="F29" s="64" t="s">
        <v>59</v>
      </c>
      <c r="G29" s="65"/>
      <c r="H29" s="86"/>
      <c r="I29" s="86"/>
    </row>
    <row r="30" spans="1:9" ht="15" customHeight="1" x14ac:dyDescent="0.4">
      <c r="A30" s="78" t="s">
        <v>61</v>
      </c>
      <c r="B30" s="79">
        <f>SUM(C30:F30)</f>
        <v>1400000</v>
      </c>
      <c r="C30" s="66"/>
      <c r="D30" s="66"/>
      <c r="E30" s="66"/>
      <c r="F30" s="80">
        <v>1400000</v>
      </c>
      <c r="G30" s="65"/>
      <c r="H30" s="86"/>
      <c r="I30" s="86"/>
    </row>
    <row r="31" spans="1:9" ht="15" customHeight="1" x14ac:dyDescent="0.35">
      <c r="A31" s="81" t="s">
        <v>64</v>
      </c>
      <c r="B31" s="82">
        <f>SUM(C31:F31)</f>
        <v>1</v>
      </c>
      <c r="C31" s="130"/>
      <c r="D31" s="130"/>
      <c r="E31" s="130"/>
      <c r="F31" s="71">
        <f>1-C31-D31-E31</f>
        <v>1</v>
      </c>
      <c r="G31" s="65"/>
      <c r="H31" s="86"/>
      <c r="I31" s="86"/>
    </row>
    <row r="32" spans="1:9" ht="15" customHeight="1" x14ac:dyDescent="0.35">
      <c r="A32" s="67" t="s">
        <v>54</v>
      </c>
      <c r="B32" s="68">
        <f>-SUM(C32:F32)</f>
        <v>-838600</v>
      </c>
      <c r="C32" s="69"/>
      <c r="D32" s="69"/>
      <c r="E32" s="69"/>
      <c r="F32" s="69">
        <v>838600</v>
      </c>
      <c r="G32" s="65"/>
      <c r="H32" s="86"/>
      <c r="I32" s="86"/>
    </row>
    <row r="33" spans="1:9" ht="15" customHeight="1" x14ac:dyDescent="0.4">
      <c r="A33" s="72" t="s">
        <v>63</v>
      </c>
      <c r="B33" s="73">
        <f>SUM(C33:F33)</f>
        <v>561400</v>
      </c>
      <c r="C33" s="74">
        <f>+C30-C32</f>
        <v>0</v>
      </c>
      <c r="D33" s="74">
        <f>+D30-D32</f>
        <v>0</v>
      </c>
      <c r="E33" s="74">
        <f>+E30-E32</f>
        <v>0</v>
      </c>
      <c r="F33" s="74">
        <f>+F30-F32</f>
        <v>561400</v>
      </c>
      <c r="G33" s="65"/>
      <c r="H33" s="86"/>
      <c r="I33" s="86"/>
    </row>
    <row r="34" spans="1:9" ht="15" customHeight="1" x14ac:dyDescent="0.4">
      <c r="A34" s="75" t="s">
        <v>60</v>
      </c>
      <c r="B34" s="76">
        <f>+B33/B30</f>
        <v>0.40100000000000002</v>
      </c>
      <c r="C34" s="77"/>
      <c r="D34" s="77"/>
      <c r="E34" s="77"/>
      <c r="F34" s="70">
        <v>1</v>
      </c>
      <c r="G34" s="65"/>
      <c r="H34" s="86"/>
      <c r="I34" s="86"/>
    </row>
    <row r="35" spans="1:9" ht="23.25" customHeight="1" thickBot="1" x14ac:dyDescent="0.4">
      <c r="B35" s="4"/>
      <c r="C35" s="4"/>
      <c r="D35" s="4"/>
      <c r="E35" s="4"/>
      <c r="F35" s="4"/>
      <c r="G35" s="65"/>
      <c r="H35" s="86"/>
      <c r="I35" s="86"/>
    </row>
    <row r="36" spans="1:9" ht="13.5" customHeight="1" thickTop="1" x14ac:dyDescent="0.35">
      <c r="A36" s="145" t="s">
        <v>13</v>
      </c>
      <c r="B36" s="147" t="s">
        <v>33</v>
      </c>
      <c r="C36" s="149" t="s">
        <v>34</v>
      </c>
      <c r="D36" s="52"/>
      <c r="E36" s="52"/>
    </row>
    <row r="37" spans="1:9" ht="15" customHeight="1" thickBot="1" x14ac:dyDescent="0.4">
      <c r="A37" s="146"/>
      <c r="B37" s="148"/>
      <c r="C37" s="150"/>
    </row>
    <row r="38" spans="1:9" ht="13.5" thickTop="1" x14ac:dyDescent="0.4">
      <c r="A38" s="50" t="s">
        <v>53</v>
      </c>
      <c r="B38" s="3">
        <f>IF($D38=1,B30,0)</f>
        <v>1400000</v>
      </c>
      <c r="C38" s="18">
        <f t="shared" ref="C38:C49" si="5">+B38/$B$38</f>
        <v>1</v>
      </c>
      <c r="D38" s="8">
        <v>1</v>
      </c>
      <c r="E38" s="19" t="s">
        <v>36</v>
      </c>
    </row>
    <row r="39" spans="1:9" ht="18" customHeight="1" thickBot="1" x14ac:dyDescent="0.45">
      <c r="A39" s="39" t="s">
        <v>28</v>
      </c>
      <c r="B39" s="40">
        <f>+B38</f>
        <v>1400000</v>
      </c>
      <c r="C39" s="41">
        <f t="shared" si="5"/>
        <v>1</v>
      </c>
    </row>
    <row r="40" spans="1:9" ht="18" customHeight="1" thickTop="1" x14ac:dyDescent="0.35">
      <c r="A40" s="14" t="s">
        <v>72</v>
      </c>
      <c r="B40" s="3">
        <f>IF($D40=1,B32,0)</f>
        <v>-838600</v>
      </c>
      <c r="C40" s="11">
        <f t="shared" si="5"/>
        <v>-0.59899999999999998</v>
      </c>
      <c r="D40" s="8">
        <v>1</v>
      </c>
      <c r="E40" s="19" t="s">
        <v>37</v>
      </c>
    </row>
    <row r="41" spans="1:9" ht="18" customHeight="1" x14ac:dyDescent="0.4">
      <c r="A41" s="42" t="s">
        <v>22</v>
      </c>
      <c r="B41" s="43">
        <f>+B38+B40</f>
        <v>561400</v>
      </c>
      <c r="C41" s="44">
        <f t="shared" si="5"/>
        <v>0.40100000000000002</v>
      </c>
    </row>
    <row r="42" spans="1:9" ht="18" customHeight="1" x14ac:dyDescent="0.35">
      <c r="A42" s="15" t="s">
        <v>68</v>
      </c>
      <c r="B42" s="20">
        <f>IF($D42=1,-350000,0)</f>
        <v>-350000</v>
      </c>
      <c r="C42" s="12">
        <f t="shared" si="5"/>
        <v>-0.25</v>
      </c>
      <c r="D42" s="8">
        <v>1</v>
      </c>
      <c r="E42" s="19" t="s">
        <v>38</v>
      </c>
    </row>
    <row r="43" spans="1:9" ht="18" customHeight="1" x14ac:dyDescent="0.4">
      <c r="A43" s="45" t="s">
        <v>31</v>
      </c>
      <c r="B43" s="46">
        <f>+B41+B42</f>
        <v>211400</v>
      </c>
      <c r="C43" s="44">
        <f t="shared" si="5"/>
        <v>0.151</v>
      </c>
      <c r="F43" s="53"/>
      <c r="G43" s="53"/>
      <c r="H43" s="53"/>
    </row>
    <row r="44" spans="1:9" ht="18" customHeight="1" x14ac:dyDescent="0.35">
      <c r="A44" s="15" t="s">
        <v>9</v>
      </c>
      <c r="B44" s="20">
        <f>IF($D44=1,-B5/10,0)</f>
        <v>-20000</v>
      </c>
      <c r="C44" s="12">
        <f t="shared" si="5"/>
        <v>-1.4285714285714285E-2</v>
      </c>
      <c r="D44" s="8">
        <v>1</v>
      </c>
      <c r="E44" s="19" t="s">
        <v>39</v>
      </c>
      <c r="F44" s="54"/>
      <c r="G44" s="54"/>
      <c r="H44" s="54"/>
    </row>
    <row r="45" spans="1:9" ht="18" customHeight="1" x14ac:dyDescent="0.4">
      <c r="A45" s="45" t="s">
        <v>32</v>
      </c>
      <c r="B45" s="46">
        <f>+B43+B44</f>
        <v>191400</v>
      </c>
      <c r="C45" s="44">
        <f t="shared" si="5"/>
        <v>0.1367142857142857</v>
      </c>
      <c r="F45" s="53"/>
      <c r="G45" s="53"/>
      <c r="H45" s="53"/>
    </row>
    <row r="46" spans="1:9" ht="18" customHeight="1" x14ac:dyDescent="0.35">
      <c r="A46" s="16" t="s">
        <v>10</v>
      </c>
      <c r="B46" s="20">
        <f>IF($D46=1,-B13*0.05,0)</f>
        <v>-5000</v>
      </c>
      <c r="C46" s="12">
        <f t="shared" si="5"/>
        <v>-3.5714285714285713E-3</v>
      </c>
      <c r="D46" s="8">
        <v>1</v>
      </c>
      <c r="E46" s="19" t="s">
        <v>40</v>
      </c>
      <c r="F46" s="54"/>
      <c r="G46" s="54"/>
      <c r="H46" s="54"/>
    </row>
    <row r="47" spans="1:9" ht="18" customHeight="1" x14ac:dyDescent="0.4">
      <c r="A47" s="45" t="s">
        <v>11</v>
      </c>
      <c r="B47" s="46">
        <f>+B45+B46</f>
        <v>186400</v>
      </c>
      <c r="C47" s="44">
        <f t="shared" si="5"/>
        <v>0.13314285714285715</v>
      </c>
      <c r="F47" s="53"/>
      <c r="G47" s="53"/>
      <c r="H47" s="53"/>
    </row>
    <row r="48" spans="1:9" ht="18" customHeight="1" x14ac:dyDescent="0.35">
      <c r="A48" s="15" t="s">
        <v>91</v>
      </c>
      <c r="B48" s="20">
        <f>IF($D48=1,-B47*0.25,0)</f>
        <v>-46600</v>
      </c>
      <c r="C48" s="12">
        <f t="shared" si="5"/>
        <v>-3.3285714285714287E-2</v>
      </c>
      <c r="D48" s="8">
        <v>1</v>
      </c>
      <c r="E48" s="19" t="s">
        <v>41</v>
      </c>
      <c r="F48" s="54"/>
      <c r="G48" s="54"/>
      <c r="H48" s="54"/>
    </row>
    <row r="49" spans="1:9" ht="18" customHeight="1" x14ac:dyDescent="0.35">
      <c r="A49" s="47" t="s">
        <v>12</v>
      </c>
      <c r="B49" s="48">
        <f>+B47+B48</f>
        <v>139800</v>
      </c>
      <c r="C49" s="49">
        <f t="shared" si="5"/>
        <v>9.9857142857142853E-2</v>
      </c>
      <c r="D49" s="55"/>
      <c r="E49" s="55"/>
      <c r="F49" s="55"/>
      <c r="G49" s="55"/>
      <c r="H49" s="55"/>
    </row>
    <row r="50" spans="1:9" ht="18" customHeight="1" thickBot="1" x14ac:dyDescent="0.4"/>
    <row r="51" spans="1:9" ht="13.15" thickTop="1" x14ac:dyDescent="0.35">
      <c r="A51" s="143" t="s">
        <v>35</v>
      </c>
      <c r="B51" s="133" t="s">
        <v>1</v>
      </c>
      <c r="C51" s="135" t="s">
        <v>35</v>
      </c>
      <c r="D51" s="52"/>
      <c r="E51" s="52"/>
      <c r="F51" s="52"/>
      <c r="G51" s="52"/>
      <c r="H51" s="52"/>
      <c r="I51" s="4"/>
    </row>
    <row r="52" spans="1:9" ht="13.15" thickBot="1" x14ac:dyDescent="0.4">
      <c r="A52" s="144"/>
      <c r="B52" s="134"/>
      <c r="C52" s="136"/>
      <c r="D52" s="52"/>
      <c r="E52" s="52"/>
      <c r="F52" s="52"/>
      <c r="G52" s="52"/>
      <c r="H52" s="52"/>
    </row>
    <row r="53" spans="1:9" ht="16.5" customHeight="1" thickTop="1" x14ac:dyDescent="0.35">
      <c r="A53" s="13" t="s">
        <v>25</v>
      </c>
      <c r="B53" s="7">
        <v>0</v>
      </c>
      <c r="C53" s="7">
        <f>+B38</f>
        <v>1400000</v>
      </c>
      <c r="D53" s="56"/>
      <c r="E53" s="56"/>
      <c r="F53" s="56"/>
      <c r="G53" s="56"/>
      <c r="H53" s="56"/>
    </row>
    <row r="54" spans="1:9" x14ac:dyDescent="0.35">
      <c r="A54" s="16" t="s">
        <v>17</v>
      </c>
      <c r="B54" s="2">
        <v>0</v>
      </c>
      <c r="C54" s="2">
        <f>+B40</f>
        <v>-838600</v>
      </c>
      <c r="D54" s="4"/>
      <c r="E54" s="4"/>
      <c r="F54" s="4"/>
      <c r="G54" s="4"/>
      <c r="H54" s="4"/>
    </row>
    <row r="55" spans="1:9" x14ac:dyDescent="0.35">
      <c r="A55" s="15" t="s">
        <v>56</v>
      </c>
      <c r="B55" s="2">
        <v>0</v>
      </c>
      <c r="C55" s="2">
        <f>+B42</f>
        <v>-350000</v>
      </c>
      <c r="D55" s="4"/>
      <c r="E55" s="4"/>
      <c r="F55" s="4"/>
      <c r="G55" s="4"/>
      <c r="H55" s="4"/>
    </row>
    <row r="56" spans="1:9" x14ac:dyDescent="0.35">
      <c r="A56" s="15" t="s">
        <v>26</v>
      </c>
      <c r="B56" s="2"/>
      <c r="C56" s="2">
        <f>+B46</f>
        <v>-5000</v>
      </c>
      <c r="D56" s="4"/>
      <c r="E56" s="4"/>
      <c r="F56" s="4"/>
      <c r="G56" s="4"/>
      <c r="H56" s="4"/>
    </row>
    <row r="57" spans="1:9" ht="13.15" thickBot="1" x14ac:dyDescent="0.4">
      <c r="A57" s="15" t="s">
        <v>92</v>
      </c>
      <c r="B57" s="2"/>
      <c r="C57" s="2">
        <f>+B48</f>
        <v>-46600</v>
      </c>
      <c r="D57" s="4"/>
      <c r="E57" s="4"/>
      <c r="F57" s="4"/>
      <c r="G57" s="4"/>
      <c r="H57" s="4"/>
    </row>
    <row r="58" spans="1:9" ht="13.9" thickTop="1" thickBot="1" x14ac:dyDescent="0.45">
      <c r="A58" s="97" t="s">
        <v>19</v>
      </c>
      <c r="B58" s="98">
        <f>+B55+B56</f>
        <v>0</v>
      </c>
      <c r="C58" s="98">
        <f>SUM(C53:C57)</f>
        <v>159800</v>
      </c>
      <c r="D58" s="27"/>
      <c r="E58" s="27"/>
      <c r="F58" s="27"/>
      <c r="G58" s="27"/>
      <c r="H58" s="27"/>
    </row>
    <row r="59" spans="1:9" ht="13.15" thickTop="1" x14ac:dyDescent="0.35">
      <c r="A59" s="16" t="s">
        <v>18</v>
      </c>
      <c r="B59" s="3">
        <f>-B5</f>
        <v>-200000</v>
      </c>
      <c r="C59" s="3"/>
      <c r="D59" s="4"/>
      <c r="E59" s="4"/>
      <c r="F59" s="4"/>
      <c r="G59" s="4"/>
      <c r="H59" s="4"/>
    </row>
    <row r="60" spans="1:9" ht="13.15" thickBot="1" x14ac:dyDescent="0.4">
      <c r="A60" s="16"/>
      <c r="B60" s="108"/>
      <c r="C60" s="2"/>
      <c r="D60" s="4"/>
      <c r="E60" s="4"/>
      <c r="F60" s="4"/>
      <c r="G60" s="4"/>
      <c r="H60" s="4"/>
    </row>
    <row r="61" spans="1:9" ht="13.9" thickTop="1" thickBot="1" x14ac:dyDescent="0.45">
      <c r="A61" s="97" t="s">
        <v>14</v>
      </c>
      <c r="B61" s="98">
        <f>+B58+B59</f>
        <v>-200000</v>
      </c>
      <c r="C61" s="98"/>
      <c r="D61" s="27"/>
      <c r="E61" s="27"/>
      <c r="F61" s="27"/>
      <c r="G61" s="27"/>
      <c r="H61" s="27"/>
    </row>
    <row r="62" spans="1:9" ht="13.15" thickTop="1" x14ac:dyDescent="0.35">
      <c r="A62" s="15" t="s">
        <v>27</v>
      </c>
      <c r="B62" s="2">
        <f>+B13</f>
        <v>100000</v>
      </c>
      <c r="C62" s="2"/>
      <c r="D62" s="4"/>
      <c r="E62" s="4"/>
      <c r="F62" s="4"/>
      <c r="G62" s="4"/>
      <c r="H62" s="4"/>
    </row>
    <row r="63" spans="1:9" x14ac:dyDescent="0.35">
      <c r="A63" s="15" t="s">
        <v>66</v>
      </c>
      <c r="B63" s="2">
        <f>+B22</f>
        <v>150000</v>
      </c>
      <c r="C63" s="2"/>
      <c r="D63" s="4"/>
      <c r="E63" s="4"/>
      <c r="F63" s="4"/>
      <c r="G63" s="4"/>
      <c r="H63" s="4"/>
    </row>
    <row r="64" spans="1:9" ht="13.15" thickBot="1" x14ac:dyDescent="0.4">
      <c r="A64" s="15" t="s">
        <v>43</v>
      </c>
      <c r="B64" s="2">
        <f>+B17</f>
        <v>0</v>
      </c>
      <c r="C64" s="2">
        <f>IF(B68+C58+C61+C62+C63&lt;0,-(B68+C58+C61+C62+C63),0)</f>
        <v>0</v>
      </c>
      <c r="D64" s="4"/>
      <c r="E64" s="4"/>
      <c r="F64" s="4"/>
      <c r="G64" s="4"/>
      <c r="H64" s="4"/>
    </row>
    <row r="65" spans="1:9" ht="13.9" thickTop="1" thickBot="1" x14ac:dyDescent="0.45">
      <c r="A65" s="111" t="s">
        <v>15</v>
      </c>
      <c r="B65" s="99">
        <f>+B63+B62</f>
        <v>250000</v>
      </c>
      <c r="C65" s="99">
        <f>+C63+C62</f>
        <v>0</v>
      </c>
      <c r="D65" s="57"/>
      <c r="E65" s="57"/>
      <c r="F65" s="57"/>
      <c r="G65" s="57"/>
      <c r="H65" s="57"/>
    </row>
    <row r="66" spans="1:9" ht="15.75" thickTop="1" thickBot="1" x14ac:dyDescent="0.4">
      <c r="A66" s="100" t="s">
        <v>16</v>
      </c>
      <c r="B66" s="110">
        <f>+B58+B61+B65</f>
        <v>50000</v>
      </c>
      <c r="C66" s="110">
        <f>+C58+C61+C65</f>
        <v>159800</v>
      </c>
      <c r="D66" s="58"/>
      <c r="E66" s="58"/>
      <c r="F66" s="58"/>
      <c r="G66" s="58"/>
      <c r="H66" s="58"/>
    </row>
    <row r="67" spans="1:9" ht="13.9" thickTop="1" thickBot="1" x14ac:dyDescent="0.4">
      <c r="A67" s="17" t="s">
        <v>20</v>
      </c>
      <c r="B67" s="2">
        <v>0</v>
      </c>
      <c r="C67" s="5">
        <f>+B68</f>
        <v>50000</v>
      </c>
      <c r="D67" s="10"/>
      <c r="E67" s="10"/>
      <c r="F67" s="10"/>
      <c r="G67" s="10"/>
      <c r="H67" s="10"/>
    </row>
    <row r="68" spans="1:9" ht="13.9" thickTop="1" thickBot="1" x14ac:dyDescent="0.4">
      <c r="A68" s="103" t="s">
        <v>21</v>
      </c>
      <c r="B68" s="104">
        <f>+B66+B67</f>
        <v>50000</v>
      </c>
      <c r="C68" s="104">
        <f>+C66+C67</f>
        <v>209800</v>
      </c>
      <c r="D68" s="59"/>
      <c r="E68" s="59"/>
      <c r="F68" s="59"/>
      <c r="G68" s="59"/>
      <c r="H68" s="59"/>
    </row>
    <row r="69" spans="1:9" ht="13.15" thickTop="1" x14ac:dyDescent="0.35"/>
    <row r="72" spans="1:9" x14ac:dyDescent="0.35">
      <c r="C72" s="4"/>
      <c r="D72" s="4"/>
      <c r="E72" s="4"/>
      <c r="F72" s="4"/>
      <c r="G72" s="4"/>
      <c r="H72" s="4"/>
      <c r="I72" s="4"/>
    </row>
  </sheetData>
  <mergeCells count="37">
    <mergeCell ref="I20:I21"/>
    <mergeCell ref="F20:F21"/>
    <mergeCell ref="B28:B29"/>
    <mergeCell ref="C28:F28"/>
    <mergeCell ref="A28:A29"/>
    <mergeCell ref="B20:B21"/>
    <mergeCell ref="C20:C21"/>
    <mergeCell ref="H3:H4"/>
    <mergeCell ref="D20:D21"/>
    <mergeCell ref="E20:E21"/>
    <mergeCell ref="G20:G21"/>
    <mergeCell ref="H20:H21"/>
    <mergeCell ref="D11:D12"/>
    <mergeCell ref="E11:E12"/>
    <mergeCell ref="F11:F12"/>
    <mergeCell ref="G11:G12"/>
    <mergeCell ref="H11:H12"/>
    <mergeCell ref="A2:I2"/>
    <mergeCell ref="I3:I4"/>
    <mergeCell ref="I11:I12"/>
    <mergeCell ref="B11:B12"/>
    <mergeCell ref="A11:A12"/>
    <mergeCell ref="C11:C12"/>
    <mergeCell ref="D3:D4"/>
    <mergeCell ref="E3:E4"/>
    <mergeCell ref="F3:F4"/>
    <mergeCell ref="G3:G4"/>
    <mergeCell ref="B51:B52"/>
    <mergeCell ref="C51:C52"/>
    <mergeCell ref="C3:C4"/>
    <mergeCell ref="A3:A4"/>
    <mergeCell ref="B3:B4"/>
    <mergeCell ref="A51:A52"/>
    <mergeCell ref="A36:A37"/>
    <mergeCell ref="B36:B37"/>
    <mergeCell ref="C36:C37"/>
    <mergeCell ref="A20:A21"/>
  </mergeCells>
  <phoneticPr fontId="0" type="noConversion"/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3"/>
  <sheetViews>
    <sheetView showZeros="0" tabSelected="1" topLeftCell="A53" zoomScaleNormal="100" zoomScaleSheetLayoutView="100" workbookViewId="0">
      <selection activeCell="D22" sqref="D22"/>
    </sheetView>
  </sheetViews>
  <sheetFormatPr baseColWidth="10" defaultRowHeight="12.75" outlineLevelRow="1" x14ac:dyDescent="0.35"/>
  <cols>
    <col min="1" max="1" width="47.86328125" customWidth="1"/>
    <col min="2" max="2" width="10.73046875" customWidth="1"/>
    <col min="3" max="3" width="10" customWidth="1"/>
    <col min="4" max="5" width="12.86328125" customWidth="1"/>
    <col min="6" max="6" width="14.73046875" customWidth="1"/>
    <col min="7" max="8" width="12.86328125" customWidth="1"/>
    <col min="9" max="9" width="11.59765625" customWidth="1"/>
    <col min="11" max="11" width="9.73046875" customWidth="1"/>
    <col min="16" max="16" width="10.1328125" customWidth="1"/>
  </cols>
  <sheetData>
    <row r="1" spans="1:9" ht="13.15" thickBot="1" x14ac:dyDescent="0.4"/>
    <row r="2" spans="1:9" ht="18" thickTop="1" thickBot="1" x14ac:dyDescent="0.5">
      <c r="A2" s="153" t="s">
        <v>55</v>
      </c>
      <c r="B2" s="154"/>
      <c r="C2" s="154"/>
      <c r="D2" s="154"/>
      <c r="E2" s="154"/>
      <c r="F2" s="154"/>
      <c r="G2" s="154"/>
      <c r="H2" s="154"/>
      <c r="I2" s="155"/>
    </row>
    <row r="3" spans="1:9" ht="13.5" customHeight="1" thickTop="1" x14ac:dyDescent="0.35">
      <c r="A3" s="177" t="s">
        <v>0</v>
      </c>
      <c r="B3" s="179" t="s">
        <v>29</v>
      </c>
      <c r="C3" s="137">
        <v>1</v>
      </c>
      <c r="D3" s="137">
        <f>+C3+1</f>
        <v>2</v>
      </c>
      <c r="E3" s="137">
        <f>+D3+1</f>
        <v>3</v>
      </c>
      <c r="F3" s="137">
        <f>+E3+1</f>
        <v>4</v>
      </c>
      <c r="G3" s="137">
        <f>+F3+1</f>
        <v>5</v>
      </c>
      <c r="H3" s="181">
        <f>+G3+1</f>
        <v>6</v>
      </c>
      <c r="I3" s="156" t="s">
        <v>30</v>
      </c>
    </row>
    <row r="4" spans="1:9" ht="13.5" customHeight="1" thickBot="1" x14ac:dyDescent="0.4">
      <c r="A4" s="178"/>
      <c r="B4" s="180"/>
      <c r="C4" s="138"/>
      <c r="D4" s="138"/>
      <c r="E4" s="138"/>
      <c r="F4" s="138"/>
      <c r="G4" s="138"/>
      <c r="H4" s="182"/>
      <c r="I4" s="157"/>
    </row>
    <row r="5" spans="1:9" ht="13.15" thickTop="1" x14ac:dyDescent="0.35">
      <c r="A5" s="1" t="str">
        <f>+'[1]Complementos de mujer'!A5</f>
        <v>Canon</v>
      </c>
      <c r="B5" s="3">
        <f>IF(B$24=0,0,D99)</f>
        <v>200000</v>
      </c>
      <c r="C5" s="36"/>
      <c r="D5" s="21"/>
      <c r="E5" s="21"/>
      <c r="F5" s="6">
        <f>IF($D$43=1,B43,0)</f>
        <v>-20000</v>
      </c>
      <c r="G5" s="21"/>
      <c r="H5" s="91"/>
      <c r="I5" s="3">
        <f>SUM(B5:H5)</f>
        <v>180000</v>
      </c>
    </row>
    <row r="6" spans="1:9" x14ac:dyDescent="0.35">
      <c r="A6" s="1" t="s">
        <v>2</v>
      </c>
      <c r="B6" s="2">
        <v>0</v>
      </c>
      <c r="C6" s="36"/>
      <c r="D6" s="6">
        <v>59215</v>
      </c>
      <c r="E6" s="6"/>
      <c r="F6" s="6"/>
      <c r="G6" s="6"/>
      <c r="H6" s="90"/>
      <c r="I6" s="2">
        <f>SUM(B6:H6)</f>
        <v>59215</v>
      </c>
    </row>
    <row r="7" spans="1:9" x14ac:dyDescent="0.35">
      <c r="A7" s="1" t="s">
        <v>24</v>
      </c>
      <c r="B7" s="2">
        <v>0</v>
      </c>
      <c r="C7" s="36">
        <v>100000</v>
      </c>
      <c r="D7" s="6"/>
      <c r="E7" s="6"/>
      <c r="F7" s="6"/>
      <c r="G7" s="6"/>
      <c r="H7" s="90"/>
      <c r="I7" s="2">
        <f>SUM(B7:H7)</f>
        <v>100000</v>
      </c>
    </row>
    <row r="8" spans="1:9" ht="13.15" thickBot="1" x14ac:dyDescent="0.4">
      <c r="A8" s="1" t="s">
        <v>3</v>
      </c>
      <c r="B8" s="2">
        <f>IF(B$24=0,0,B21+B13-B5)</f>
        <v>50000</v>
      </c>
      <c r="C8" s="36">
        <f>IF($D$37=1,B38-C7,0)</f>
        <v>1300000</v>
      </c>
      <c r="D8" s="6">
        <v>-897815</v>
      </c>
      <c r="E8" s="6">
        <f>IF($D$41=1,C54,0)</f>
        <v>-350000</v>
      </c>
      <c r="G8" s="6">
        <f>IF($D$45=1,C55,0)</f>
        <v>-5000</v>
      </c>
      <c r="H8" s="90">
        <f>IF($D$47=1,C56,0)</f>
        <v>-46600</v>
      </c>
      <c r="I8" s="2">
        <f>SUM(B8:H8)</f>
        <v>50585</v>
      </c>
    </row>
    <row r="9" spans="1:9" ht="15.75" thickTop="1" thickBot="1" x14ac:dyDescent="0.4">
      <c r="A9" s="33" t="s">
        <v>4</v>
      </c>
      <c r="B9" s="32">
        <f t="shared" ref="B9:I9" si="0">SUM(B5:B8)</f>
        <v>250000</v>
      </c>
      <c r="C9" s="88">
        <f t="shared" si="0"/>
        <v>1400000</v>
      </c>
      <c r="D9" s="60">
        <f t="shared" si="0"/>
        <v>-838600</v>
      </c>
      <c r="E9" s="60">
        <f t="shared" si="0"/>
        <v>-350000</v>
      </c>
      <c r="F9" s="60">
        <f t="shared" si="0"/>
        <v>-20000</v>
      </c>
      <c r="G9" s="60">
        <f t="shared" si="0"/>
        <v>-5000</v>
      </c>
      <c r="H9" s="60">
        <f t="shared" si="0"/>
        <v>-46600</v>
      </c>
      <c r="I9" s="32">
        <f t="shared" si="0"/>
        <v>389800</v>
      </c>
    </row>
    <row r="10" spans="1:9" ht="5.0999999999999996" customHeight="1" thickTop="1" thickBot="1" x14ac:dyDescent="0.4">
      <c r="A10" s="37"/>
      <c r="B10" s="38"/>
      <c r="C10" s="38"/>
      <c r="D10" s="38"/>
      <c r="E10" s="38"/>
      <c r="F10" s="38"/>
      <c r="G10" s="38"/>
      <c r="H10" s="38"/>
      <c r="I10" s="89"/>
    </row>
    <row r="11" spans="1:9" ht="13.5" customHeight="1" thickTop="1" x14ac:dyDescent="0.35">
      <c r="A11" s="183" t="s">
        <v>50</v>
      </c>
      <c r="B11" s="158" t="str">
        <f t="shared" ref="B11:I11" si="1">+B3</f>
        <v>BALANCE INICIAL</v>
      </c>
      <c r="C11" s="185">
        <f t="shared" si="1"/>
        <v>1</v>
      </c>
      <c r="D11" s="166">
        <f t="shared" si="1"/>
        <v>2</v>
      </c>
      <c r="E11" s="166">
        <f t="shared" si="1"/>
        <v>3</v>
      </c>
      <c r="F11" s="166">
        <f t="shared" si="1"/>
        <v>4</v>
      </c>
      <c r="G11" s="166">
        <f t="shared" si="1"/>
        <v>5</v>
      </c>
      <c r="H11" s="194">
        <f t="shared" si="1"/>
        <v>6</v>
      </c>
      <c r="I11" s="158" t="str">
        <f t="shared" si="1"/>
        <v>BALANCE FINAL</v>
      </c>
    </row>
    <row r="12" spans="1:9" ht="13.15" thickBot="1" x14ac:dyDescent="0.4">
      <c r="A12" s="184"/>
      <c r="B12" s="159"/>
      <c r="C12" s="186"/>
      <c r="D12" s="167"/>
      <c r="E12" s="167"/>
      <c r="F12" s="167"/>
      <c r="G12" s="167"/>
      <c r="H12" s="195"/>
      <c r="I12" s="159"/>
    </row>
    <row r="13" spans="1:9" ht="13.15" thickTop="1" x14ac:dyDescent="0.35">
      <c r="A13" s="30" t="s">
        <v>57</v>
      </c>
      <c r="B13" s="3">
        <f>IF(B$24=0,0,D100)</f>
        <v>100000</v>
      </c>
      <c r="C13" s="35"/>
      <c r="D13" s="21"/>
      <c r="E13" s="21"/>
      <c r="F13" s="21"/>
      <c r="G13" s="21"/>
      <c r="H13" s="91"/>
      <c r="I13" s="2">
        <f>SUM(B13:H13)</f>
        <v>100000</v>
      </c>
    </row>
    <row r="14" spans="1:9" x14ac:dyDescent="0.35">
      <c r="A14" s="1" t="s">
        <v>5</v>
      </c>
      <c r="B14" s="2"/>
      <c r="C14" s="36"/>
      <c r="D14" s="6">
        <v>32075</v>
      </c>
      <c r="E14" s="6"/>
      <c r="F14" s="6"/>
      <c r="G14" s="6"/>
      <c r="H14" s="90"/>
      <c r="I14" s="2">
        <f>SUM(B14:H14)</f>
        <v>32075</v>
      </c>
    </row>
    <row r="15" spans="1:9" x14ac:dyDescent="0.35">
      <c r="A15" s="1" t="s">
        <v>6</v>
      </c>
      <c r="B15" s="2"/>
      <c r="C15" s="36"/>
      <c r="D15" s="6"/>
      <c r="E15" s="6"/>
      <c r="F15" s="6"/>
      <c r="G15" s="6"/>
      <c r="H15" s="90"/>
      <c r="I15" s="2">
        <f>SUM(B15:H15)</f>
        <v>0</v>
      </c>
    </row>
    <row r="16" spans="1:9" ht="13.15" thickBot="1" x14ac:dyDescent="0.4">
      <c r="A16" s="1" t="s">
        <v>7</v>
      </c>
      <c r="B16" s="2"/>
      <c r="C16" s="36"/>
      <c r="D16" s="6"/>
      <c r="E16" s="6"/>
      <c r="F16" s="6"/>
      <c r="G16" s="6"/>
      <c r="H16" s="90"/>
      <c r="I16" s="2">
        <f>SUM(B16:H16)</f>
        <v>0</v>
      </c>
    </row>
    <row r="17" spans="1:11" ht="13.9" thickTop="1" thickBot="1" x14ac:dyDescent="0.45">
      <c r="A17" s="34" t="s">
        <v>52</v>
      </c>
      <c r="B17" s="9">
        <f t="shared" ref="B17:I17" si="2">SUM(B13:B16)</f>
        <v>100000</v>
      </c>
      <c r="C17" s="22">
        <f t="shared" si="2"/>
        <v>0</v>
      </c>
      <c r="D17" s="9">
        <f t="shared" si="2"/>
        <v>32075</v>
      </c>
      <c r="E17" s="9">
        <f t="shared" si="2"/>
        <v>0</v>
      </c>
      <c r="F17" s="9">
        <f t="shared" si="2"/>
        <v>0</v>
      </c>
      <c r="G17" s="9">
        <f t="shared" si="2"/>
        <v>0</v>
      </c>
      <c r="H17" s="83">
        <f t="shared" si="2"/>
        <v>0</v>
      </c>
      <c r="I17" s="9">
        <f t="shared" si="2"/>
        <v>132075</v>
      </c>
      <c r="K17" s="4"/>
    </row>
    <row r="18" spans="1:11" ht="5.0999999999999996" customHeight="1" thickTop="1" thickBot="1" x14ac:dyDescent="0.45">
      <c r="A18" s="29"/>
      <c r="B18" s="38"/>
      <c r="C18" s="28"/>
      <c r="D18" s="28"/>
      <c r="E18" s="28"/>
      <c r="F18" s="28"/>
      <c r="G18" s="28"/>
      <c r="H18" s="28"/>
      <c r="I18" s="89"/>
    </row>
    <row r="19" spans="1:11" ht="13.15" thickTop="1" x14ac:dyDescent="0.35">
      <c r="A19" s="187" t="s">
        <v>73</v>
      </c>
      <c r="B19" s="168" t="s">
        <v>29</v>
      </c>
      <c r="C19" s="189">
        <f t="shared" ref="C19:H19" si="3">+C11</f>
        <v>1</v>
      </c>
      <c r="D19" s="164">
        <f t="shared" si="3"/>
        <v>2</v>
      </c>
      <c r="E19" s="164">
        <f t="shared" si="3"/>
        <v>3</v>
      </c>
      <c r="F19" s="164">
        <f t="shared" si="3"/>
        <v>4</v>
      </c>
      <c r="G19" s="164">
        <f t="shared" si="3"/>
        <v>5</v>
      </c>
      <c r="H19" s="192">
        <f t="shared" si="3"/>
        <v>6</v>
      </c>
      <c r="I19" s="168" t="s">
        <v>30</v>
      </c>
    </row>
    <row r="20" spans="1:11" ht="13.15" thickBot="1" x14ac:dyDescent="0.4">
      <c r="A20" s="188"/>
      <c r="B20" s="169"/>
      <c r="C20" s="190"/>
      <c r="D20" s="191"/>
      <c r="E20" s="191"/>
      <c r="F20" s="191"/>
      <c r="G20" s="191"/>
      <c r="H20" s="193"/>
      <c r="I20" s="169"/>
    </row>
    <row r="21" spans="1:11" ht="13.15" thickTop="1" x14ac:dyDescent="0.35">
      <c r="A21" s="30" t="s">
        <v>67</v>
      </c>
      <c r="B21" s="3">
        <f>IF(B$24=0,0,D101)</f>
        <v>150000</v>
      </c>
      <c r="C21" s="35"/>
      <c r="D21" s="21"/>
      <c r="E21" s="21"/>
      <c r="F21" s="21"/>
      <c r="G21" s="21"/>
      <c r="H21" s="91"/>
      <c r="I21" s="3">
        <f>SUM(B21:H21)</f>
        <v>150000</v>
      </c>
    </row>
    <row r="22" spans="1:11" ht="13.15" thickBot="1" x14ac:dyDescent="0.4">
      <c r="A22" s="31" t="s">
        <v>51</v>
      </c>
      <c r="B22" s="2"/>
      <c r="C22" s="36">
        <f>IF($D$37=1,B37,0)</f>
        <v>1400000</v>
      </c>
      <c r="D22" s="61">
        <f>IF($D$39=1,B39,0)</f>
        <v>-838600</v>
      </c>
      <c r="E22" s="6">
        <f>IF($D$41=1,B41,0)</f>
        <v>-350000</v>
      </c>
      <c r="F22" s="6">
        <f>IF($D$43=1,B43,0)</f>
        <v>-20000</v>
      </c>
      <c r="G22" s="6">
        <f>IF($D$45=1,B45,0)</f>
        <v>-5000</v>
      </c>
      <c r="H22" s="90">
        <f>IF($D$47=1,B47,0)</f>
        <v>-46600</v>
      </c>
      <c r="I22" s="2">
        <f>SUM(B22:H22)</f>
        <v>139800</v>
      </c>
    </row>
    <row r="23" spans="1:11" ht="15.75" thickTop="1" thickBot="1" x14ac:dyDescent="0.4">
      <c r="A23" s="105" t="s">
        <v>8</v>
      </c>
      <c r="B23" s="102">
        <f t="shared" ref="B23:I23" si="4">SUM(B21:B22)</f>
        <v>150000</v>
      </c>
      <c r="C23" s="106">
        <f t="shared" si="4"/>
        <v>1400000</v>
      </c>
      <c r="D23" s="102">
        <f t="shared" si="4"/>
        <v>-838600</v>
      </c>
      <c r="E23" s="102">
        <f t="shared" si="4"/>
        <v>-350000</v>
      </c>
      <c r="F23" s="102">
        <f t="shared" si="4"/>
        <v>-20000</v>
      </c>
      <c r="G23" s="102">
        <f t="shared" si="4"/>
        <v>-5000</v>
      </c>
      <c r="H23" s="107">
        <f t="shared" si="4"/>
        <v>-46600</v>
      </c>
      <c r="I23" s="102">
        <f t="shared" si="4"/>
        <v>289800</v>
      </c>
    </row>
    <row r="24" spans="1:11" ht="15.4" thickTop="1" x14ac:dyDescent="0.35">
      <c r="A24" s="51"/>
      <c r="B24" s="8">
        <v>1</v>
      </c>
      <c r="C24" s="10"/>
      <c r="D24" s="10"/>
      <c r="E24" s="10"/>
      <c r="F24" s="10"/>
      <c r="G24" s="10"/>
      <c r="H24" s="10"/>
      <c r="I24" s="10"/>
    </row>
    <row r="25" spans="1:11" x14ac:dyDescent="0.35">
      <c r="A25" s="62" t="s">
        <v>23</v>
      </c>
      <c r="B25" s="63">
        <f t="shared" ref="B25:I25" si="5">+B9-B17-B23</f>
        <v>0</v>
      </c>
      <c r="C25" s="63">
        <f t="shared" si="5"/>
        <v>0</v>
      </c>
      <c r="D25" s="63">
        <f t="shared" si="5"/>
        <v>-32075</v>
      </c>
      <c r="E25" s="63">
        <f t="shared" si="5"/>
        <v>0</v>
      </c>
      <c r="F25" s="63">
        <f t="shared" si="5"/>
        <v>0</v>
      </c>
      <c r="G25" s="63">
        <f t="shared" si="5"/>
        <v>0</v>
      </c>
      <c r="H25" s="63">
        <f t="shared" si="5"/>
        <v>0</v>
      </c>
      <c r="I25" s="63">
        <f t="shared" si="5"/>
        <v>-32075</v>
      </c>
    </row>
    <row r="26" spans="1:11" ht="23.25" customHeight="1" x14ac:dyDescent="0.35">
      <c r="B26" s="4">
        <f>+B9-B17-B23</f>
        <v>0</v>
      </c>
      <c r="C26" s="4"/>
      <c r="D26" s="4"/>
      <c r="E26" s="4"/>
      <c r="F26" s="4"/>
      <c r="G26" s="65"/>
      <c r="H26" s="86"/>
      <c r="I26" s="86"/>
    </row>
    <row r="27" spans="1:11" ht="15" customHeight="1" x14ac:dyDescent="0.35">
      <c r="G27" s="65"/>
      <c r="H27" s="86"/>
      <c r="I27" s="86"/>
    </row>
    <row r="28" spans="1:11" ht="15" customHeight="1" x14ac:dyDescent="0.35">
      <c r="G28" s="65"/>
      <c r="H28" s="86"/>
      <c r="I28" s="86"/>
    </row>
    <row r="29" spans="1:11" ht="15" customHeight="1" x14ac:dyDescent="0.35">
      <c r="G29" s="65"/>
      <c r="H29" s="86"/>
      <c r="I29" s="86"/>
    </row>
    <row r="30" spans="1:11" ht="15" customHeight="1" x14ac:dyDescent="0.35">
      <c r="G30" s="65"/>
      <c r="H30" s="86"/>
      <c r="I30" s="86"/>
    </row>
    <row r="31" spans="1:11" ht="15" customHeight="1" x14ac:dyDescent="0.35">
      <c r="G31" s="65"/>
      <c r="H31" s="86"/>
      <c r="I31" s="86"/>
    </row>
    <row r="32" spans="1:11" ht="15" customHeight="1" x14ac:dyDescent="0.35">
      <c r="G32" s="65"/>
      <c r="H32" s="86"/>
      <c r="I32" s="86"/>
    </row>
    <row r="33" spans="1:9" ht="15" customHeight="1" x14ac:dyDescent="0.35">
      <c r="G33" s="65"/>
      <c r="H33" s="86"/>
      <c r="I33" s="86"/>
    </row>
    <row r="34" spans="1:9" ht="23.25" customHeight="1" thickBot="1" x14ac:dyDescent="0.4">
      <c r="B34" s="4"/>
      <c r="C34" s="4"/>
      <c r="D34" s="4"/>
      <c r="E34" s="4"/>
      <c r="F34" s="4"/>
      <c r="G34" s="65"/>
      <c r="H34" s="86"/>
      <c r="I34" s="86"/>
    </row>
    <row r="35" spans="1:9" ht="13.5" customHeight="1" thickTop="1" x14ac:dyDescent="0.35">
      <c r="A35" s="145" t="s">
        <v>13</v>
      </c>
      <c r="B35" s="147" t="s">
        <v>33</v>
      </c>
      <c r="C35" s="149" t="s">
        <v>34</v>
      </c>
      <c r="D35" s="52"/>
      <c r="E35" s="52"/>
    </row>
    <row r="36" spans="1:9" ht="15" customHeight="1" thickBot="1" x14ac:dyDescent="0.4">
      <c r="A36" s="146"/>
      <c r="B36" s="148"/>
      <c r="C36" s="150"/>
    </row>
    <row r="37" spans="1:9" ht="13.5" thickTop="1" x14ac:dyDescent="0.4">
      <c r="A37" s="50" t="s">
        <v>53</v>
      </c>
      <c r="B37" s="3">
        <f>IF($D37=1,G78,0)</f>
        <v>1400000</v>
      </c>
      <c r="C37" s="18">
        <f t="shared" ref="C37:C48" si="6">+B37/$B$37</f>
        <v>1</v>
      </c>
      <c r="D37" s="8">
        <v>1</v>
      </c>
      <c r="E37" s="19" t="s">
        <v>36</v>
      </c>
    </row>
    <row r="38" spans="1:9" ht="18" customHeight="1" thickBot="1" x14ac:dyDescent="0.45">
      <c r="A38" s="39" t="s">
        <v>28</v>
      </c>
      <c r="B38" s="40">
        <f>+B37</f>
        <v>1400000</v>
      </c>
      <c r="C38" s="41">
        <f t="shared" si="6"/>
        <v>1</v>
      </c>
    </row>
    <row r="39" spans="1:9" ht="18" customHeight="1" thickTop="1" x14ac:dyDescent="0.35">
      <c r="A39" s="14" t="s">
        <v>72</v>
      </c>
      <c r="B39" s="3">
        <f>IF($D39=1,G80,0)</f>
        <v>-838600</v>
      </c>
      <c r="C39" s="11">
        <f t="shared" si="6"/>
        <v>-0.59899999999999998</v>
      </c>
      <c r="D39" s="8">
        <v>1</v>
      </c>
      <c r="E39" s="19" t="s">
        <v>37</v>
      </c>
    </row>
    <row r="40" spans="1:9" ht="18" customHeight="1" x14ac:dyDescent="0.4">
      <c r="A40" s="42" t="s">
        <v>22</v>
      </c>
      <c r="B40" s="43">
        <f>+B37+B39</f>
        <v>561400</v>
      </c>
      <c r="C40" s="44">
        <f t="shared" si="6"/>
        <v>0.40100000000000002</v>
      </c>
    </row>
    <row r="41" spans="1:9" ht="18" customHeight="1" x14ac:dyDescent="0.35">
      <c r="A41" s="15" t="s">
        <v>68</v>
      </c>
      <c r="B41" s="20">
        <f>IF($D41=1,-D85,0)</f>
        <v>-350000</v>
      </c>
      <c r="C41" s="12">
        <f t="shared" si="6"/>
        <v>-0.25</v>
      </c>
      <c r="D41" s="8">
        <v>1</v>
      </c>
      <c r="E41" s="19" t="s">
        <v>38</v>
      </c>
    </row>
    <row r="42" spans="1:9" ht="18" customHeight="1" x14ac:dyDescent="0.4">
      <c r="A42" s="45" t="s">
        <v>31</v>
      </c>
      <c r="B42" s="46">
        <f>+B40+B41</f>
        <v>211400</v>
      </c>
      <c r="C42" s="44">
        <f t="shared" si="6"/>
        <v>0.151</v>
      </c>
      <c r="F42" s="53"/>
      <c r="G42" s="53"/>
      <c r="H42" s="53"/>
    </row>
    <row r="43" spans="1:9" ht="18" customHeight="1" x14ac:dyDescent="0.35">
      <c r="A43" s="15" t="s">
        <v>9</v>
      </c>
      <c r="B43" s="20">
        <f>IF($D43=1,-B5/10,0)</f>
        <v>-20000</v>
      </c>
      <c r="C43" s="12">
        <f t="shared" si="6"/>
        <v>-1.4285714285714285E-2</v>
      </c>
      <c r="D43" s="8">
        <v>1</v>
      </c>
      <c r="E43" s="19" t="s">
        <v>39</v>
      </c>
      <c r="F43" s="54"/>
      <c r="G43" s="54"/>
      <c r="H43" s="54"/>
    </row>
    <row r="44" spans="1:9" ht="18" customHeight="1" x14ac:dyDescent="0.4">
      <c r="A44" s="45" t="s">
        <v>32</v>
      </c>
      <c r="B44" s="46">
        <f>+B42+B43</f>
        <v>191400</v>
      </c>
      <c r="C44" s="44">
        <f t="shared" si="6"/>
        <v>0.1367142857142857</v>
      </c>
      <c r="F44" s="53"/>
      <c r="G44" s="53"/>
      <c r="H44" s="53"/>
    </row>
    <row r="45" spans="1:9" ht="18" customHeight="1" x14ac:dyDescent="0.35">
      <c r="A45" s="16" t="s">
        <v>10</v>
      </c>
      <c r="B45" s="20">
        <f>IF($D45=1,-B13*D86,0)</f>
        <v>-5000</v>
      </c>
      <c r="C45" s="12">
        <f t="shared" si="6"/>
        <v>-3.5714285714285713E-3</v>
      </c>
      <c r="D45" s="8">
        <v>1</v>
      </c>
      <c r="E45" s="19" t="s">
        <v>40</v>
      </c>
      <c r="F45" s="54"/>
      <c r="G45" s="54"/>
      <c r="H45" s="54"/>
    </row>
    <row r="46" spans="1:9" ht="18" customHeight="1" x14ac:dyDescent="0.4">
      <c r="A46" s="45" t="s">
        <v>11</v>
      </c>
      <c r="B46" s="46">
        <f>+B44+B45</f>
        <v>186400</v>
      </c>
      <c r="C46" s="44">
        <f t="shared" si="6"/>
        <v>0.13314285714285715</v>
      </c>
      <c r="F46" s="53"/>
      <c r="G46" s="53"/>
      <c r="H46" s="53"/>
    </row>
    <row r="47" spans="1:9" ht="18" customHeight="1" x14ac:dyDescent="0.35">
      <c r="A47" s="15" t="s">
        <v>96</v>
      </c>
      <c r="B47" s="20">
        <f>IF($D47=1,-B46*D87,0)</f>
        <v>-46600</v>
      </c>
      <c r="C47" s="12">
        <f t="shared" si="6"/>
        <v>-3.3285714285714287E-2</v>
      </c>
      <c r="D47" s="8">
        <v>1</v>
      </c>
      <c r="E47" s="19" t="s">
        <v>41</v>
      </c>
      <c r="F47" s="54"/>
      <c r="G47" s="54"/>
      <c r="H47" s="54"/>
    </row>
    <row r="48" spans="1:9" ht="18" customHeight="1" x14ac:dyDescent="0.35">
      <c r="A48" s="47" t="s">
        <v>12</v>
      </c>
      <c r="B48" s="48">
        <f>+B46+B47</f>
        <v>139800</v>
      </c>
      <c r="C48" s="49">
        <f t="shared" si="6"/>
        <v>9.9857142857142853E-2</v>
      </c>
      <c r="D48" s="55"/>
      <c r="E48" s="55"/>
      <c r="F48" s="55"/>
      <c r="G48" s="55"/>
      <c r="H48" s="55"/>
    </row>
    <row r="49" spans="1:9" ht="18" customHeight="1" thickBot="1" x14ac:dyDescent="0.4"/>
    <row r="50" spans="1:9" ht="13.15" thickTop="1" x14ac:dyDescent="0.35">
      <c r="A50" s="199" t="s">
        <v>35</v>
      </c>
      <c r="B50" s="133" t="s">
        <v>1</v>
      </c>
      <c r="C50" s="135" t="s">
        <v>35</v>
      </c>
      <c r="D50" s="52"/>
      <c r="E50" s="52"/>
      <c r="F50" s="52"/>
      <c r="G50" s="52"/>
      <c r="H50" s="52">
        <f>+H49*C40</f>
        <v>0</v>
      </c>
      <c r="I50" s="4"/>
    </row>
    <row r="51" spans="1:9" ht="13.15" thickBot="1" x14ac:dyDescent="0.4">
      <c r="A51" s="200"/>
      <c r="B51" s="134"/>
      <c r="C51" s="136"/>
      <c r="D51" s="52"/>
      <c r="E51" s="52"/>
      <c r="F51" s="52"/>
      <c r="G51" s="52"/>
      <c r="H51" s="52"/>
    </row>
    <row r="52" spans="1:9" ht="16.5" customHeight="1" thickTop="1" x14ac:dyDescent="0.35">
      <c r="A52" s="13" t="s">
        <v>25</v>
      </c>
      <c r="B52" s="7">
        <v>0</v>
      </c>
      <c r="C52" s="7">
        <f>+C8</f>
        <v>1300000</v>
      </c>
      <c r="D52" s="56"/>
      <c r="E52" s="56"/>
      <c r="F52" s="56"/>
      <c r="G52" s="56"/>
      <c r="H52" s="56"/>
    </row>
    <row r="53" spans="1:9" x14ac:dyDescent="0.35">
      <c r="A53" s="16" t="s">
        <v>17</v>
      </c>
      <c r="B53" s="2">
        <v>0</v>
      </c>
      <c r="C53" s="2">
        <f>+D8</f>
        <v>-897815</v>
      </c>
      <c r="D53" s="4"/>
      <c r="E53" s="4"/>
      <c r="F53" s="4"/>
      <c r="G53" s="4"/>
      <c r="H53" s="4"/>
    </row>
    <row r="54" spans="1:9" x14ac:dyDescent="0.35">
      <c r="A54" s="15" t="s">
        <v>56</v>
      </c>
      <c r="B54" s="2">
        <v>0</v>
      </c>
      <c r="C54" s="2">
        <f>+B41</f>
        <v>-350000</v>
      </c>
      <c r="D54" s="4"/>
      <c r="E54" s="4"/>
      <c r="F54" s="4"/>
      <c r="G54" s="4"/>
      <c r="H54" s="4"/>
    </row>
    <row r="55" spans="1:9" x14ac:dyDescent="0.35">
      <c r="A55" s="15" t="s">
        <v>26</v>
      </c>
      <c r="B55" s="2"/>
      <c r="C55" s="2">
        <f>+B45</f>
        <v>-5000</v>
      </c>
      <c r="D55" s="4"/>
      <c r="E55" s="4"/>
      <c r="F55" s="4"/>
      <c r="G55" s="4"/>
      <c r="H55" s="4"/>
    </row>
    <row r="56" spans="1:9" ht="13.15" thickBot="1" x14ac:dyDescent="0.4">
      <c r="A56" s="15" t="s">
        <v>65</v>
      </c>
      <c r="B56" s="2"/>
      <c r="C56" s="2">
        <f>+B47</f>
        <v>-46600</v>
      </c>
      <c r="D56" s="4"/>
      <c r="E56" s="4"/>
      <c r="F56" s="4"/>
      <c r="G56" s="4"/>
      <c r="H56" s="4"/>
    </row>
    <row r="57" spans="1:9" ht="13.9" thickTop="1" thickBot="1" x14ac:dyDescent="0.45">
      <c r="A57" s="97" t="s">
        <v>19</v>
      </c>
      <c r="B57" s="98">
        <f>SUM(B52:B56)</f>
        <v>0</v>
      </c>
      <c r="C57" s="98">
        <f>SUM(C52:C56)</f>
        <v>585</v>
      </c>
      <c r="D57" s="27"/>
      <c r="E57" s="27"/>
      <c r="F57" s="27"/>
      <c r="G57" s="27"/>
      <c r="H57" s="27"/>
    </row>
    <row r="58" spans="1:9" ht="13.15" thickTop="1" x14ac:dyDescent="0.35">
      <c r="A58" s="16" t="s">
        <v>18</v>
      </c>
      <c r="B58" s="3">
        <f>-B5</f>
        <v>-200000</v>
      </c>
      <c r="C58" s="3"/>
      <c r="D58" s="4"/>
      <c r="E58" s="4"/>
      <c r="F58" s="4"/>
      <c r="G58" s="4"/>
      <c r="H58" s="4"/>
    </row>
    <row r="59" spans="1:9" ht="13.15" thickBot="1" x14ac:dyDescent="0.4">
      <c r="A59" s="16"/>
      <c r="B59" s="108"/>
      <c r="C59" s="2">
        <f>SUM(B59:B59)</f>
        <v>0</v>
      </c>
      <c r="D59" s="4"/>
      <c r="E59" s="4"/>
      <c r="F59" s="4"/>
      <c r="G59" s="4"/>
      <c r="H59" s="4"/>
    </row>
    <row r="60" spans="1:9" ht="13.9" thickTop="1" thickBot="1" x14ac:dyDescent="0.45">
      <c r="A60" s="97" t="s">
        <v>14</v>
      </c>
      <c r="B60" s="98">
        <f>+B57+B58</f>
        <v>-200000</v>
      </c>
      <c r="C60" s="98">
        <f>+C58</f>
        <v>0</v>
      </c>
      <c r="D60" s="27"/>
      <c r="E60" s="27"/>
      <c r="F60" s="27"/>
      <c r="G60" s="27"/>
      <c r="H60" s="27"/>
    </row>
    <row r="61" spans="1:9" ht="13.15" thickTop="1" x14ac:dyDescent="0.35">
      <c r="A61" s="15" t="s">
        <v>27</v>
      </c>
      <c r="B61" s="2">
        <f>+B13</f>
        <v>100000</v>
      </c>
      <c r="C61" s="2"/>
      <c r="D61" s="4"/>
      <c r="E61" s="4"/>
      <c r="F61" s="4"/>
      <c r="G61" s="4"/>
      <c r="H61" s="4"/>
    </row>
    <row r="62" spans="1:9" ht="13.15" thickBot="1" x14ac:dyDescent="0.4">
      <c r="A62" s="15" t="s">
        <v>66</v>
      </c>
      <c r="B62" s="2">
        <f>+B21</f>
        <v>150000</v>
      </c>
      <c r="C62" s="2"/>
      <c r="D62" s="4"/>
      <c r="E62" s="4"/>
      <c r="F62" s="4"/>
      <c r="G62" s="4"/>
      <c r="H62" s="4"/>
    </row>
    <row r="63" spans="1:9" ht="13.15" hidden="1" thickBot="1" x14ac:dyDescent="0.4">
      <c r="A63" s="15" t="s">
        <v>43</v>
      </c>
      <c r="B63" s="2" t="e">
        <f>+#REF!</f>
        <v>#REF!</v>
      </c>
      <c r="C63" s="2">
        <f>IF(B67+C57+C60+C61+C62&lt;0,-(B67+C57+C60+C61+C62),0)</f>
        <v>0</v>
      </c>
      <c r="D63" s="4"/>
      <c r="E63" s="4"/>
      <c r="F63" s="4"/>
      <c r="G63" s="4"/>
      <c r="H63" s="4"/>
    </row>
    <row r="64" spans="1:9" ht="13.9" thickTop="1" thickBot="1" x14ac:dyDescent="0.45">
      <c r="A64" s="109" t="s">
        <v>15</v>
      </c>
      <c r="B64" s="99">
        <f>+B62+B61</f>
        <v>250000</v>
      </c>
      <c r="C64" s="99">
        <f>+C62+C61</f>
        <v>0</v>
      </c>
      <c r="D64" s="57"/>
      <c r="E64" s="57"/>
      <c r="F64" s="57"/>
      <c r="G64" s="57"/>
      <c r="H64" s="57"/>
    </row>
    <row r="65" spans="1:11" ht="15.75" thickTop="1" thickBot="1" x14ac:dyDescent="0.4">
      <c r="A65" s="100" t="s">
        <v>16</v>
      </c>
      <c r="B65" s="101">
        <f>+B57+B60+B64</f>
        <v>50000</v>
      </c>
      <c r="C65" s="101">
        <f>+C57+C60+C64</f>
        <v>585</v>
      </c>
      <c r="D65" s="58"/>
      <c r="E65" s="58"/>
      <c r="F65" s="58"/>
      <c r="G65" s="58"/>
      <c r="H65" s="58"/>
    </row>
    <row r="66" spans="1:11" ht="13.9" thickTop="1" thickBot="1" x14ac:dyDescent="0.4">
      <c r="A66" s="17" t="s">
        <v>20</v>
      </c>
      <c r="B66" s="2">
        <v>0</v>
      </c>
      <c r="C66" s="5">
        <f>+B67</f>
        <v>50000</v>
      </c>
      <c r="D66" s="10"/>
      <c r="E66" s="10"/>
      <c r="F66" s="10"/>
      <c r="G66" s="10"/>
      <c r="H66" s="10"/>
    </row>
    <row r="67" spans="1:11" ht="13.9" thickTop="1" thickBot="1" x14ac:dyDescent="0.4">
      <c r="A67" s="103" t="s">
        <v>21</v>
      </c>
      <c r="B67" s="104">
        <f>+B65+B66</f>
        <v>50000</v>
      </c>
      <c r="C67" s="104">
        <f>+C65+C66</f>
        <v>50585</v>
      </c>
      <c r="D67" s="59"/>
      <c r="E67" s="59"/>
      <c r="F67" s="59"/>
      <c r="G67" s="59"/>
      <c r="H67" s="59"/>
    </row>
    <row r="68" spans="1:11" ht="13.15" thickTop="1" x14ac:dyDescent="0.35"/>
    <row r="71" spans="1:11" ht="15" x14ac:dyDescent="0.4">
      <c r="A71" s="201" t="s">
        <v>44</v>
      </c>
      <c r="B71" s="201"/>
      <c r="C71" s="201"/>
      <c r="D71" s="201"/>
      <c r="E71" s="4"/>
      <c r="F71" s="4"/>
      <c r="G71" s="4"/>
      <c r="H71" s="4"/>
      <c r="I71" s="4"/>
    </row>
    <row r="72" spans="1:11" ht="13.15" x14ac:dyDescent="0.4">
      <c r="A72" s="26"/>
      <c r="B72" s="127" t="s">
        <v>46</v>
      </c>
      <c r="C72" s="128" t="s">
        <v>47</v>
      </c>
      <c r="D72" s="128" t="s">
        <v>75</v>
      </c>
    </row>
    <row r="73" spans="1:11" ht="13.15" x14ac:dyDescent="0.4">
      <c r="A73" s="121" t="s">
        <v>80</v>
      </c>
      <c r="B73" s="119"/>
      <c r="C73" s="120"/>
      <c r="D73" s="120"/>
      <c r="E73" s="4"/>
      <c r="F73" s="4"/>
      <c r="G73" s="54"/>
    </row>
    <row r="74" spans="1:11" ht="13.15" x14ac:dyDescent="0.4">
      <c r="A74" s="118"/>
      <c r="B74" s="116"/>
      <c r="C74" s="117"/>
      <c r="D74" s="117"/>
    </row>
    <row r="75" spans="1:11" x14ac:dyDescent="0.35">
      <c r="A75" s="23" t="s">
        <v>45</v>
      </c>
      <c r="B75" s="24">
        <f>+'[1]Complementos de mujer'!B30</f>
        <v>1400000</v>
      </c>
      <c r="C75" s="96">
        <v>1</v>
      </c>
      <c r="D75" s="24">
        <f>+B75*C75</f>
        <v>1400000</v>
      </c>
      <c r="E75" s="4"/>
    </row>
    <row r="76" spans="1:11" x14ac:dyDescent="0.35">
      <c r="A76" s="23" t="s">
        <v>69</v>
      </c>
      <c r="B76" s="87"/>
      <c r="C76" s="131"/>
      <c r="D76" s="87">
        <f>+C76*B76</f>
        <v>0</v>
      </c>
      <c r="F76" s="173"/>
      <c r="G76" s="170" t="s">
        <v>62</v>
      </c>
      <c r="H76" s="196" t="s">
        <v>58</v>
      </c>
      <c r="I76" s="197"/>
      <c r="J76" s="197"/>
      <c r="K76" s="198"/>
    </row>
    <row r="77" spans="1:11" x14ac:dyDescent="0.35">
      <c r="A77" s="129" t="s">
        <v>93</v>
      </c>
      <c r="B77" s="87">
        <f>+'[1]Complementos de mujer'!C31</f>
        <v>0.35</v>
      </c>
      <c r="C77" s="96">
        <v>1</v>
      </c>
      <c r="D77" s="87">
        <f>+B77*C77</f>
        <v>0.35</v>
      </c>
      <c r="F77" s="174"/>
      <c r="G77" s="171"/>
      <c r="H77" s="64" t="str">
        <f>+'[1]Complementos de mujer'!C29</f>
        <v>BOLSOS</v>
      </c>
      <c r="I77" s="64" t="str">
        <f>+'[1]Complementos de mujer'!D29</f>
        <v>ZAPATERIA</v>
      </c>
      <c r="J77" s="64" t="str">
        <f>+'[1]Complementos de mujer'!E29</f>
        <v>JOYERIA</v>
      </c>
      <c r="K77" s="64" t="s">
        <v>59</v>
      </c>
    </row>
    <row r="78" spans="1:11" ht="13.15" x14ac:dyDescent="0.4">
      <c r="A78" s="23" t="s">
        <v>94</v>
      </c>
      <c r="B78" s="87">
        <f>+'[1]Complementos de mujer'!D31</f>
        <v>0.45</v>
      </c>
      <c r="C78" s="96">
        <v>1</v>
      </c>
      <c r="D78" s="87">
        <f>+B78*C78</f>
        <v>0.45</v>
      </c>
      <c r="F78" s="78" t="s">
        <v>61</v>
      </c>
      <c r="G78" s="66">
        <f>+D75</f>
        <v>1400000</v>
      </c>
      <c r="H78" s="66">
        <f>+$G$78*H79</f>
        <v>489999.99999999994</v>
      </c>
      <c r="I78" s="66">
        <f>+$G$78*I79</f>
        <v>630000</v>
      </c>
      <c r="J78" s="66">
        <f>+$G$78*J79</f>
        <v>70000</v>
      </c>
      <c r="K78" s="80">
        <f>+$G$78*K79</f>
        <v>210000.00000000003</v>
      </c>
    </row>
    <row r="79" spans="1:11" x14ac:dyDescent="0.35">
      <c r="A79" s="23" t="s">
        <v>95</v>
      </c>
      <c r="B79" s="87">
        <f>+'[1]Complementos de mujer'!E31</f>
        <v>0.05</v>
      </c>
      <c r="C79" s="96">
        <v>1</v>
      </c>
      <c r="D79" s="87">
        <f>+B79*C79</f>
        <v>0.05</v>
      </c>
      <c r="F79" s="81" t="s">
        <v>64</v>
      </c>
      <c r="G79" s="82">
        <f>SUM(H79:K79)</f>
        <v>1</v>
      </c>
      <c r="H79" s="132">
        <f>+D77</f>
        <v>0.35</v>
      </c>
      <c r="I79" s="132">
        <f>+D78</f>
        <v>0.45</v>
      </c>
      <c r="J79" s="132">
        <f>+D79</f>
        <v>0.05</v>
      </c>
      <c r="K79" s="95">
        <f>1-H79-I79-J79</f>
        <v>0.15000000000000002</v>
      </c>
    </row>
    <row r="80" spans="1:11" x14ac:dyDescent="0.35">
      <c r="A80" s="23" t="s">
        <v>70</v>
      </c>
      <c r="B80" s="87">
        <f>+'[1]Complementos de mujer'!F31</f>
        <v>0.15000000000000002</v>
      </c>
      <c r="C80" s="131"/>
      <c r="D80" s="87">
        <f>1-D79-D78-D77</f>
        <v>0.14999999999999997</v>
      </c>
      <c r="F80" s="95" t="s">
        <v>54</v>
      </c>
      <c r="G80" s="68">
        <f>-SUM(H80:K80)</f>
        <v>-838600</v>
      </c>
      <c r="H80" s="69">
        <f>+H78*(1-H82)</f>
        <v>284200</v>
      </c>
      <c r="I80" s="69">
        <f>+I78*(1-I82)</f>
        <v>384300</v>
      </c>
      <c r="J80" s="69">
        <f>+J78*(1-J82)</f>
        <v>23099.999999999996</v>
      </c>
      <c r="K80" s="69">
        <f>+K78*(1-K82)</f>
        <v>147000</v>
      </c>
    </row>
    <row r="81" spans="1:11" ht="13.15" x14ac:dyDescent="0.4">
      <c r="A81" s="92" t="s">
        <v>74</v>
      </c>
      <c r="B81" s="93">
        <f>+'[1]Complementos de mujer'!B34</f>
        <v>0.40100000000000002</v>
      </c>
      <c r="C81" s="94">
        <f>+D81/B81</f>
        <v>1</v>
      </c>
      <c r="D81" s="93">
        <f>+G82</f>
        <v>0.40100000000000002</v>
      </c>
      <c r="E81" s="4"/>
      <c r="F81" s="72" t="s">
        <v>63</v>
      </c>
      <c r="G81" s="73">
        <f>SUM(H81:K81)</f>
        <v>561400</v>
      </c>
      <c r="H81" s="74">
        <f>+H78-H80</f>
        <v>205799.99999999994</v>
      </c>
      <c r="I81" s="74">
        <f>+I78-I80</f>
        <v>245700</v>
      </c>
      <c r="J81" s="74">
        <f>+J78-J80</f>
        <v>46900</v>
      </c>
      <c r="K81" s="74">
        <f>+K78-K80</f>
        <v>63000.000000000029</v>
      </c>
    </row>
    <row r="82" spans="1:11" ht="13.15" x14ac:dyDescent="0.4">
      <c r="A82" s="23"/>
      <c r="B82" s="87"/>
      <c r="C82" s="131"/>
      <c r="D82" s="87"/>
      <c r="F82" s="75" t="s">
        <v>60</v>
      </c>
      <c r="G82" s="76">
        <f>+G81/G78</f>
        <v>0.40100000000000002</v>
      </c>
      <c r="H82" s="77">
        <f>+'[1]Complementos de mujer'!C34</f>
        <v>0.42</v>
      </c>
      <c r="I82" s="77">
        <f>+'[1]Complementos de mujer'!D34</f>
        <v>0.39</v>
      </c>
      <c r="J82" s="77">
        <f>+'[1]Complementos de mujer'!E34</f>
        <v>0.67</v>
      </c>
      <c r="K82" s="70">
        <f>+'[1]Complementos de mujer'!F34</f>
        <v>0.3</v>
      </c>
    </row>
    <row r="83" spans="1:11" ht="13.15" x14ac:dyDescent="0.4">
      <c r="A83" s="121" t="s">
        <v>81</v>
      </c>
      <c r="B83" s="122"/>
      <c r="C83" s="123"/>
      <c r="D83" s="122"/>
      <c r="F83" s="112"/>
      <c r="G83" s="113"/>
      <c r="H83" s="114"/>
      <c r="I83" s="114"/>
      <c r="J83" s="114"/>
      <c r="K83" s="115"/>
    </row>
    <row r="84" spans="1:11" ht="13.15" x14ac:dyDescent="0.4">
      <c r="A84" s="118"/>
      <c r="B84" s="87"/>
      <c r="C84" s="131"/>
      <c r="D84" s="87"/>
      <c r="F84" s="112"/>
      <c r="G84" s="113"/>
      <c r="H84" s="114"/>
      <c r="I84" s="114"/>
      <c r="J84" s="114"/>
      <c r="K84" s="115"/>
    </row>
    <row r="85" spans="1:11" x14ac:dyDescent="0.35">
      <c r="A85" s="23" t="s">
        <v>71</v>
      </c>
      <c r="B85" s="24">
        <f>-'[1]Complementos de mujer'!B42</f>
        <v>350000</v>
      </c>
      <c r="C85" s="96">
        <v>1</v>
      </c>
      <c r="D85" s="24">
        <f>+B85*C85</f>
        <v>350000</v>
      </c>
      <c r="E85" s="4"/>
      <c r="F85" s="4"/>
      <c r="G85" s="54"/>
    </row>
    <row r="86" spans="1:11" x14ac:dyDescent="0.35">
      <c r="A86" s="23" t="s">
        <v>79</v>
      </c>
      <c r="B86" s="87">
        <v>0.05</v>
      </c>
      <c r="C86" s="96">
        <v>1</v>
      </c>
      <c r="D86" s="87">
        <f>+B86*C86</f>
        <v>0.05</v>
      </c>
      <c r="E86" s="4"/>
      <c r="F86" s="54"/>
    </row>
    <row r="87" spans="1:11" x14ac:dyDescent="0.35">
      <c r="A87" s="23" t="s">
        <v>48</v>
      </c>
      <c r="B87" s="87">
        <v>0.25</v>
      </c>
      <c r="C87" s="96">
        <v>1</v>
      </c>
      <c r="D87" s="87">
        <f>+B87*C87</f>
        <v>0.25</v>
      </c>
      <c r="E87" s="4"/>
      <c r="F87" s="54"/>
    </row>
    <row r="88" spans="1:11" x14ac:dyDescent="0.35">
      <c r="A88" s="23"/>
      <c r="B88" s="87"/>
      <c r="C88" s="131"/>
      <c r="D88" s="87"/>
      <c r="F88" s="54"/>
    </row>
    <row r="89" spans="1:11" ht="13.15" x14ac:dyDescent="0.4">
      <c r="A89" s="121" t="s">
        <v>82</v>
      </c>
      <c r="B89" s="122"/>
      <c r="C89" s="123"/>
      <c r="D89" s="122"/>
      <c r="F89" s="54"/>
    </row>
    <row r="90" spans="1:11" ht="13.15" x14ac:dyDescent="0.4">
      <c r="A90" s="124"/>
      <c r="B90" s="125"/>
      <c r="C90" s="126"/>
      <c r="D90" s="125"/>
      <c r="F90" s="54"/>
    </row>
    <row r="91" spans="1:11" x14ac:dyDescent="0.35">
      <c r="A91" s="23" t="s">
        <v>76</v>
      </c>
      <c r="B91" s="24">
        <v>15</v>
      </c>
      <c r="C91" s="96">
        <v>1</v>
      </c>
      <c r="D91" s="25">
        <f>+B91*C91</f>
        <v>15</v>
      </c>
      <c r="E91" s="4"/>
      <c r="F91" s="4"/>
      <c r="G91" s="54"/>
    </row>
    <row r="92" spans="1:11" x14ac:dyDescent="0.35">
      <c r="A92" s="23" t="s">
        <v>77</v>
      </c>
      <c r="B92" s="24">
        <v>15</v>
      </c>
      <c r="C92" s="96">
        <v>1</v>
      </c>
      <c r="D92" s="25">
        <f>+B92*C92</f>
        <v>15</v>
      </c>
      <c r="E92" s="4"/>
      <c r="F92" s="4"/>
      <c r="G92" s="54"/>
    </row>
    <row r="93" spans="1:11" x14ac:dyDescent="0.35">
      <c r="A93" s="23" t="s">
        <v>78</v>
      </c>
      <c r="B93" s="24">
        <v>30</v>
      </c>
      <c r="C93" s="96">
        <v>1</v>
      </c>
      <c r="D93" s="24">
        <f>+C93*B93</f>
        <v>30</v>
      </c>
      <c r="E93" s="4"/>
      <c r="F93" s="4"/>
      <c r="G93" s="54"/>
    </row>
    <row r="94" spans="1:11" x14ac:dyDescent="0.35">
      <c r="B94" s="4"/>
      <c r="F94" s="54"/>
    </row>
    <row r="95" spans="1:11" x14ac:dyDescent="0.35">
      <c r="A95" s="23" t="s">
        <v>49</v>
      </c>
      <c r="B95" s="4"/>
      <c r="D95" s="24">
        <f>-(+B39+(B39/360)*D93)</f>
        <v>908483.33333333337</v>
      </c>
      <c r="F95" s="54"/>
    </row>
    <row r="96" spans="1:11" x14ac:dyDescent="0.35">
      <c r="F96" s="54"/>
    </row>
    <row r="97" spans="1:6" ht="13.15" x14ac:dyDescent="0.4">
      <c r="A97" s="121" t="s">
        <v>83</v>
      </c>
      <c r="B97" s="122"/>
      <c r="C97" s="123"/>
      <c r="D97" s="122"/>
      <c r="F97" s="54"/>
    </row>
    <row r="98" spans="1:6" ht="13.15" x14ac:dyDescent="0.4">
      <c r="A98" s="124"/>
      <c r="B98" s="125"/>
      <c r="C98" s="126"/>
      <c r="D98" s="125"/>
      <c r="F98" s="54"/>
    </row>
    <row r="99" spans="1:6" x14ac:dyDescent="0.35">
      <c r="A99" s="23" t="s">
        <v>84</v>
      </c>
      <c r="B99" s="24">
        <f>+'[1]Complementos de mujer'!B5</f>
        <v>200000</v>
      </c>
      <c r="C99" s="96">
        <v>1</v>
      </c>
      <c r="D99" s="24">
        <f>+B99*C99</f>
        <v>200000</v>
      </c>
      <c r="E99" s="4"/>
      <c r="F99" s="54"/>
    </row>
    <row r="100" spans="1:6" x14ac:dyDescent="0.35">
      <c r="A100" s="23" t="s">
        <v>85</v>
      </c>
      <c r="B100" s="24">
        <f>+'[1]Complementos de mujer'!B13</f>
        <v>100000</v>
      </c>
      <c r="C100" s="96">
        <v>1</v>
      </c>
      <c r="D100" s="24">
        <f>+B100*C100</f>
        <v>100000</v>
      </c>
      <c r="E100" s="4"/>
      <c r="F100" s="54"/>
    </row>
    <row r="101" spans="1:6" x14ac:dyDescent="0.35">
      <c r="A101" s="23" t="s">
        <v>86</v>
      </c>
      <c r="B101" s="24">
        <f>+'[1]Complementos de mujer'!B22</f>
        <v>150000</v>
      </c>
      <c r="C101" s="96">
        <v>1</v>
      </c>
      <c r="D101" s="24">
        <f>+B101*C101</f>
        <v>150000</v>
      </c>
      <c r="E101" s="4"/>
      <c r="F101" s="54"/>
    </row>
    <row r="102" spans="1:6" x14ac:dyDescent="0.35">
      <c r="F102" s="54"/>
    </row>
    <row r="103" spans="1:6" x14ac:dyDescent="0.35">
      <c r="F103" s="54"/>
    </row>
    <row r="105" spans="1:6" hidden="1" outlineLevel="1" x14ac:dyDescent="0.35"/>
    <row r="106" spans="1:6" hidden="1" outlineLevel="1" x14ac:dyDescent="0.35"/>
    <row r="107" spans="1:6" hidden="1" outlineLevel="1" x14ac:dyDescent="0.35"/>
    <row r="108" spans="1:6" hidden="1" outlineLevel="1" x14ac:dyDescent="0.35"/>
    <row r="109" spans="1:6" hidden="1" outlineLevel="1" x14ac:dyDescent="0.35"/>
    <row r="110" spans="1:6" collapsed="1" x14ac:dyDescent="0.35"/>
    <row r="114" outlineLevel="1" x14ac:dyDescent="0.35"/>
    <row r="115" outlineLevel="1" x14ac:dyDescent="0.35"/>
    <row r="116" outlineLevel="1" x14ac:dyDescent="0.35"/>
    <row r="119" outlineLevel="1" x14ac:dyDescent="0.35"/>
    <row r="120" outlineLevel="1" x14ac:dyDescent="0.35"/>
    <row r="121" outlineLevel="1" x14ac:dyDescent="0.35"/>
    <row r="122" outlineLevel="1" x14ac:dyDescent="0.35"/>
    <row r="123" outlineLevel="1" x14ac:dyDescent="0.35"/>
  </sheetData>
  <mergeCells count="38">
    <mergeCell ref="F76:F77"/>
    <mergeCell ref="G76:G77"/>
    <mergeCell ref="H76:K76"/>
    <mergeCell ref="A35:A36"/>
    <mergeCell ref="A50:A51"/>
    <mergeCell ref="B50:B51"/>
    <mergeCell ref="C50:C51"/>
    <mergeCell ref="A71:D71"/>
    <mergeCell ref="H19:H20"/>
    <mergeCell ref="I19:I20"/>
    <mergeCell ref="B35:B36"/>
    <mergeCell ref="C35:C36"/>
    <mergeCell ref="G11:G12"/>
    <mergeCell ref="H11:H12"/>
    <mergeCell ref="I11:I12"/>
    <mergeCell ref="G19:G20"/>
    <mergeCell ref="A19:A20"/>
    <mergeCell ref="B19:B20"/>
    <mergeCell ref="C19:C20"/>
    <mergeCell ref="D19:D20"/>
    <mergeCell ref="E19:E20"/>
    <mergeCell ref="F19:F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5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35"/>
  <sheetData/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100" workbookViewId="0">
      <selection activeCell="E25" sqref="E24:E25"/>
    </sheetView>
  </sheetViews>
  <sheetFormatPr baseColWidth="10" defaultRowHeight="12.75" x14ac:dyDescent="0.35"/>
  <sheetData/>
  <phoneticPr fontId="0" type="noConversion"/>
  <pageMargins left="0.75" right="0.75" top="1" bottom="1" header="0" footer="0"/>
  <pageSetup paperSize="9" scale="75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Complementos de mujer</vt:lpstr>
      <vt:lpstr>Complementos de mujer 2</vt:lpstr>
      <vt:lpstr>Hoja3</vt:lpstr>
      <vt:lpstr>Hoja 4</vt:lpstr>
      <vt:lpstr>'Complementos de mujer'!Área_de_impresión</vt:lpstr>
      <vt:lpstr>'Complementos de mujer 2'!Área_de_impresión</vt:lpstr>
    </vt:vector>
  </TitlesOfParts>
  <Company>ASECO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Antonio Gomariz</cp:lastModifiedBy>
  <cp:lastPrinted>2010-01-29T10:12:41Z</cp:lastPrinted>
  <dcterms:created xsi:type="dcterms:W3CDTF">2008-04-13T19:05:53Z</dcterms:created>
  <dcterms:modified xsi:type="dcterms:W3CDTF">2019-03-17T08:56:12Z</dcterms:modified>
</cp:coreProperties>
</file>